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rmg-file\corporate$\Financial Systems\CFO\ADE- AFR\AFR FY24-25\PRA\"/>
    </mc:Choice>
  </mc:AlternateContent>
  <xr:revisionPtr revIDLastSave="0" documentId="13_ncr:1_{50509AEE-0EF3-4B01-9F6B-ADA53358324B}" xr6:coauthVersionLast="47" xr6:coauthVersionMax="47" xr10:uidLastSave="{00000000-0000-0000-0000-000000000000}"/>
  <workbookProtection workbookAlgorithmName="SHA-512" workbookHashValue="IUsat8xBPbdzfkodKkr5l+2SCFQhGw5qRBG+Xu9ZtAaxG5uVcuuZGb4E9jBi39jZIDZXhwmQkh8eaaITjbq5XA==" workbookSaltValue="P8a/TNN3eH3L3ETFPmT9iw==" workbookSpinCount="100000" lockStructure="1"/>
  <bookViews>
    <workbookView xWindow="28680" yWindow="-120" windowWidth="29040" windowHeight="15720" tabRatio="876" activeTab="9" xr2:uid="{CA47FF2C-1399-47FC-8955-3958A5622C6E}"/>
  </bookViews>
  <sheets>
    <sheet name="Cover Page" sheetId="2" r:id="rId1"/>
    <sheet name="Page 1" sheetId="8" r:id="rId2"/>
    <sheet name="Page 2" sheetId="7" r:id="rId3"/>
    <sheet name="Page 3" sheetId="22" r:id="rId4"/>
    <sheet name="Page 4" sheetId="12" r:id="rId5"/>
    <sheet name="Page 5" sheetId="14" r:id="rId6"/>
    <sheet name="Page 6" sheetId="6" r:id="rId7"/>
    <sheet name="Page 7" sheetId="5" r:id="rId8"/>
    <sheet name="Page 8" sheetId="4" r:id="rId9"/>
    <sheet name="Page 9" sheetId="15" r:id="rId10"/>
    <sheet name="Page 10" sheetId="23" r:id="rId11"/>
    <sheet name="Food Service" sheetId="26" r:id="rId12"/>
    <sheet name="Summary" sheetId="24" r:id="rId13"/>
    <sheet name="Reserve balance" sheetId="25" r:id="rId14"/>
    <sheet name="School listing" sheetId="20" r:id="rId15"/>
    <sheet name="Alerts" sheetId="17" r:id="rId16"/>
    <sheet name="Accounting data" sheetId="21" r:id="rId17"/>
    <sheet name="Calculations" sheetId="18" r:id="rId18"/>
    <sheet name="Instructions" sheetId="16" r:id="rId19"/>
  </sheets>
  <externalReferences>
    <externalReference r:id="rId20"/>
    <externalReference r:id="rId21"/>
  </externalReferences>
  <definedNames>
    <definedName name="_xlnm._FilterDatabase" localSheetId="16" hidden="1">'Accounting data'!$A$1:$L$4340</definedName>
    <definedName name="_xlnm._FilterDatabase" localSheetId="17" hidden="1">Calculations!$A$1:$E$1534</definedName>
    <definedName name="_xlnm._FilterDatabase" localSheetId="18" hidden="1">Instructions!$A$1:$D$141</definedName>
    <definedName name="_Order1" hidden="1">255</definedName>
    <definedName name="Account">'Accounting data'!$A$1</definedName>
    <definedName name="Accounting_Data_Tab">Instructions!$C$10</definedName>
    <definedName name="ActualTotalFederalAndStateProjects">'Page 8'!$K$42</definedName>
    <definedName name="ActualTotalInstImpExp">'Page 4'!$I$11</definedName>
    <definedName name="AddlInstrImprProjEndBal">'Page 4'!$F$20</definedName>
    <definedName name="AdjustedBeginningProjectBalance">Instructions!$C$127</definedName>
    <definedName name="ALaCarte">Instructions!$C$117</definedName>
    <definedName name="AllDisabilityClassifications">Instructions!$C$44</definedName>
    <definedName name="Allocation_to_Schools_2">"TextBox 1"</definedName>
    <definedName name="ArizonaIndustryCredentialsIncentive">Instructions!$C$24</definedName>
    <definedName name="AuditServices">Instructions!$C$27</definedName>
    <definedName name="AverageTeacherSalary">Instructions!$C$41</definedName>
    <definedName name="BegProjectBalances">Instructions!$C$126</definedName>
    <definedName name="Breakfasts">Instructions!$C$115</definedName>
    <definedName name="CapitalAcquisitions">Instructions!$C$28</definedName>
    <definedName name="CapitalAcquisitionsLine5">Instructions!$C$29</definedName>
    <definedName name="CashandInvestments">Instructions!$C$64</definedName>
    <definedName name="CashBal">'Page 6'!$F$6</definedName>
    <definedName name="CIP1072EndBal">'Page 5'!$P$48</definedName>
    <definedName name="ClssrmSitepg3">Instructions!$C$19</definedName>
    <definedName name="CSPEndBal">'Page 3'!$F$31</definedName>
    <definedName name="CSPlines122615">Instructions!$C$21</definedName>
    <definedName name="CSPlines4914">Instructions!$C$20</definedName>
    <definedName name="CSPPropertyPayments">Instructions!$C$22</definedName>
    <definedName name="CurrentExpensesByCategory">Instructions!$C$32</definedName>
    <definedName name="CurrentExpensesbyCategoryLines7and8">Instructions!$C$33</definedName>
    <definedName name="DebtService">Instructions!$C$53</definedName>
    <definedName name="District_Name">'School listing'!$A$1</definedName>
    <definedName name="EXPENSES">Instructions!$C$95</definedName>
    <definedName name="ExpensesPage2">Instructions!$C$17</definedName>
    <definedName name="FederalAndStateProjectsAdjustedBeginningProjectBalance">Instructions!$C$46</definedName>
    <definedName name="FederalAndStateProjectsPage2">Instructions!$C$18</definedName>
    <definedName name="FederalAndStateProjectsPage9">Instructions!$C$47</definedName>
    <definedName name="FederalAndStateProjectsPage9Line30">Instructions!$C$49</definedName>
    <definedName name="Food_Service_1600">Instructions!$C$13</definedName>
    <definedName name="FoodServiceGen">Instructions!$C$89</definedName>
    <definedName name="FP11001130EndBal">'Page 8'!$N$6</definedName>
    <definedName name="FP11401150EndBal">'Page 8'!$N$7</definedName>
    <definedName name="FP1160EndBal">'Page 8'!$N$8</definedName>
    <definedName name="FP11701180EndBal">'Page 8'!$N$9</definedName>
    <definedName name="FP1190EndBal">'Page 8'!$N$10</definedName>
    <definedName name="FP1200EndBal">'Page 8'!$N$11</definedName>
    <definedName name="FP1210EndBal">'Page 8'!$N$12</definedName>
    <definedName name="FP1220EndBal">'Page 8'!$N$13</definedName>
    <definedName name="FP1230EndBal">'Page 8'!$N$14</definedName>
    <definedName name="FP1240EndBal">'Page 8'!$N$15</definedName>
    <definedName name="FP1250EndBal">'Page 8'!$N$16</definedName>
    <definedName name="FP1260EndBal">'Page 8'!$N$17</definedName>
    <definedName name="FP1280EndBal">'Page 8'!$N$18</definedName>
    <definedName name="FP1290EndBal">'Page 8'!$N$19</definedName>
    <definedName name="FP1300EndBal">'Page 8'!$N$20</definedName>
    <definedName name="FP13101399EndBal">'Page 8'!$N$22</definedName>
    <definedName name="FP13XXImpactAidEndBal">'Page 8'!$N$21</definedName>
    <definedName name="FullTimeEquivalentTeachers">Instructions!$C$34</definedName>
    <definedName name="GeneralInstructions">Instructions!$C$2</definedName>
    <definedName name="GeneralPage1">Instructions!$C$12</definedName>
    <definedName name="GeneralPage10">Instructions!$C$50</definedName>
    <definedName name="ImpactAidandOtherFederalProjects">Instructions!$C$48</definedName>
    <definedName name="InvestmentInCapitalAssets">Instructions!$C$30</definedName>
    <definedName name="InvestmentInCapitalAssetsLine5">Instructions!$C$31</definedName>
    <definedName name="LongandShortTermDebt">Instructions!$C$65</definedName>
    <definedName name="LunchesSuppers">Instructions!$C$116</definedName>
    <definedName name="NameCountyCTDSNumber">Instructions!$C$7</definedName>
    <definedName name="Page10DebtServiceDetail">Instructions!$C$75</definedName>
    <definedName name="Page10FY20to23Exp">Instructions!$C$85</definedName>
    <definedName name="Page10FY24Exp">Instructions!$C$86</definedName>
    <definedName name="Page10General">Instructions!$C$69</definedName>
    <definedName name="Page10OtherLine">Instructions!$C$70</definedName>
    <definedName name="Page10PPP">Instructions!$A$88</definedName>
    <definedName name="Page10projects">Instructions!$A$76</definedName>
    <definedName name="Page10ProjectsLine1">Instructions!$C$78</definedName>
    <definedName name="Page10ProjectsLine2">Instructions!$C$79</definedName>
    <definedName name="Page10ProjectsLine3">Instructions!$C$80</definedName>
    <definedName name="Page10ProjectsLine4">Instructions!$C$81</definedName>
    <definedName name="Page10ProjectsLine5">Instructions!$C$82</definedName>
    <definedName name="Page10ProjectsLine6">Instructions!$C$83</definedName>
    <definedName name="Page10PropertyDisbursement">Instructions!$C$73</definedName>
    <definedName name="Page10PropertyDisbursementDetail">Instructions!$C$74</definedName>
    <definedName name="Page10Remaining">Instructions!$C$87</definedName>
    <definedName name="Page10TechDetail">Instructions!$C$71</definedName>
    <definedName name="Page10TechDetailLine7">Instructions!$C$72</definedName>
    <definedName name="Page10TotalAward">Instructions!$C$84</definedName>
    <definedName name="Page3AdjBeginProjBal">Instructions!$C$23</definedName>
    <definedName name="Page4AdjBeginProjBal">Instructions!$C$25</definedName>
    <definedName name="Page5AdjBeginProjBal">Instructions!$C$26</definedName>
    <definedName name="_xlnm.Print_Area" localSheetId="16">'Accounting data'!$A:$L</definedName>
    <definedName name="_xlnm.Print_Area" localSheetId="15">Alerts!$A$1:$A$17</definedName>
    <definedName name="_xlnm.Print_Area" localSheetId="0">'Cover Page'!$A$1:$R$35</definedName>
    <definedName name="_xlnm.Print_Area" localSheetId="11">'Food Service'!$A$1:$P$43</definedName>
    <definedName name="_xlnm.Print_Area" localSheetId="18">Instructions!$A:$D</definedName>
    <definedName name="_xlnm.Print_Area" localSheetId="1">'Page 1'!$A$1:$N$43</definedName>
    <definedName name="_xlnm.Print_Area" localSheetId="10">'Page 10'!$A$1:$P$49</definedName>
    <definedName name="_xlnm.Print_Area" localSheetId="2">'Page 2'!$A$1:$M$48</definedName>
    <definedName name="_xlnm.Print_Area" localSheetId="3">'Page 3'!$A$1:$L$31</definedName>
    <definedName name="_xlnm.Print_Area" localSheetId="4">'Page 4'!$A$1:$M$30</definedName>
    <definedName name="_xlnm.Print_Area" localSheetId="6">'Page 6'!$A$1:$U$42</definedName>
    <definedName name="_xlnm.Print_Area" localSheetId="7">'Page 7'!$A$1:$W$27</definedName>
    <definedName name="_xlnm.Print_Area" localSheetId="8">'Page 8'!$A$1:$O$42</definedName>
    <definedName name="_xlnm.Print_Area" localSheetId="9">'Page 9'!$A$1:$L$63</definedName>
    <definedName name="_xlnm.Print_Area" localSheetId="13">'Reserve balance'!$A$1:$M$46</definedName>
    <definedName name="_xlnm.Print_Area" localSheetId="12">Summary!$A$1:$V$24</definedName>
    <definedName name="PriorYearSalary">'Page 6'!$T$30</definedName>
    <definedName name="PropertyDisbursements">Instructions!$C$51</definedName>
    <definedName name="PropertyDisbursementsByType">Instructions!$C$52</definedName>
    <definedName name="ReserveBalSecA">Instructions!$C$128</definedName>
    <definedName name="ReserveBalSecAl1">Instructions!$C$129</definedName>
    <definedName name="ReserveBalSecAl2">Instructions!$C$130</definedName>
    <definedName name="ReserveBalSecAl3">Instructions!$C$131</definedName>
    <definedName name="ReserveBalSecAl3a">Instructions!$C$132</definedName>
    <definedName name="ReserveBalSecAl3b">Instructions!$C$133</definedName>
    <definedName name="ReserveBalSecAl3c">Instructions!$C$134</definedName>
    <definedName name="ReserveBalSecAl3d">Instructions!$C$135</definedName>
    <definedName name="ReserveBalSecAl3e">Instructions!$C$136</definedName>
    <definedName name="ReserveBalSecAl3f">Instructions!$C$137</definedName>
    <definedName name="ReserveBalSecAl3g">Instructions!$C$138</definedName>
    <definedName name="ReserveBalSecB">Instructions!$C$139</definedName>
    <definedName name="ReserveBalSecBl4">Instructions!$C$140</definedName>
    <definedName name="ReserveBalSecBl5">Instructions!$C$141</definedName>
    <definedName name="Restricted3200">Instructions!$C$14</definedName>
    <definedName name="Revenue_From_Selected_Federal_Sources">Instructions!$C$54</definedName>
    <definedName name="REVENUES">Instructions!$C$90</definedName>
    <definedName name="School_Listing_Tab">Instructions!$C$9</definedName>
    <definedName name="SchoolwideEndBal">Summary!$K$17</definedName>
    <definedName name="Section_C_Transportation">Instructions!$C$45</definedName>
    <definedName name="SectionA">Instructions!$C$110</definedName>
    <definedName name="SectionB">Instructions!$C$111</definedName>
    <definedName name="SectionC">Instructions!$C$119</definedName>
    <definedName name="SectionD">Instructions!$C$120</definedName>
    <definedName name="SectionE">Instructions!$C$121</definedName>
    <definedName name="SectionF">Instructions!$C$122</definedName>
    <definedName name="SectionG">Instructions!$C$123</definedName>
    <definedName name="SEIP1071EndBal">'Page 5'!$P$26</definedName>
    <definedName name="Snacks">Instructions!$C$118</definedName>
    <definedName name="SP1000ClassSiteProj">'Page 2'!$J$43</definedName>
    <definedName name="SP1000CompInstrProj">'Page 2'!$J$46</definedName>
    <definedName name="SP1000FedStProj">'Page 2'!$J$47</definedName>
    <definedName name="SP1000InstrImpProj">'Page 2'!$J$44</definedName>
    <definedName name="SP1000P100F1000">'Page 2'!$J$7</definedName>
    <definedName name="SP1000P100F2100">'Page 2'!$J$9</definedName>
    <definedName name="SP1000P100F2200">'Page 2'!$J$10</definedName>
    <definedName name="SP1000P100F2300">'Page 2'!$J$11</definedName>
    <definedName name="SP1000P100F2400">'Page 2'!$J$12</definedName>
    <definedName name="SP1000P100F2500">'Page 2'!$J$13</definedName>
    <definedName name="SP1000P100F2600">'Page 2'!$J$14</definedName>
    <definedName name="SP1000P100F2900">'Page 2'!$J$15</definedName>
    <definedName name="SP1000P100F3000">'Page 2'!$J$16</definedName>
    <definedName name="SP1000P100F4000">'Page 2'!$J$17</definedName>
    <definedName name="SP1000P100F5000">'Page 2'!$J$18</definedName>
    <definedName name="SP1000P200F1000">'Page 2'!$J$25</definedName>
    <definedName name="SP1000P200F2100">'Page 2'!$J$27</definedName>
    <definedName name="SP1000P200F2200">'Page 2'!$J$28</definedName>
    <definedName name="SP1000P200F2300">'Page 2'!$J$29</definedName>
    <definedName name="SP1000P200F2400">'Page 2'!$J$30</definedName>
    <definedName name="SP1000P200F2500">'Page 2'!$J$31</definedName>
    <definedName name="SP1000P200F2600">'Page 2'!$J$32</definedName>
    <definedName name="SP1000P200F2900">'Page 2'!$J$33</definedName>
    <definedName name="SP1000P200F3000">'Page 2'!$J$34</definedName>
    <definedName name="SP1000P200F4000">'Page 2'!$J$35</definedName>
    <definedName name="SP1000P200F5000">'Page 2'!$J$36</definedName>
    <definedName name="SP1000P400">'Page 2'!$J$38</definedName>
    <definedName name="SP1000P530">'Page 2'!$J$39</definedName>
    <definedName name="SP1000P540">'Page 2'!$J$40</definedName>
    <definedName name="SP1000P550">'Page 2'!$J$41</definedName>
    <definedName name="SP1000P610">'Page 2'!$J$19</definedName>
    <definedName name="SP1000P620">'Page 2'!$J$20</definedName>
    <definedName name="SP1000P630700800900">'Page 2'!$J$22</definedName>
    <definedName name="SP1000StruEngImmProj">'Page 2'!$J$45</definedName>
    <definedName name="SpecialEdProgramsByType">Instructions!$C$43</definedName>
    <definedName name="StP1400EndBal">'Page 8'!$N$28</definedName>
    <definedName name="StP1410EndBal">'Page 8'!$N$29</definedName>
    <definedName name="StP1420EndBal">'Page 8'!$N$30</definedName>
    <definedName name="StP1425EndBal">'Page 8'!$N$31</definedName>
    <definedName name="StP1430EndBal">'Page 8'!$N$32</definedName>
    <definedName name="StP1435EndBal">'Page 8'!$N$33</definedName>
    <definedName name="StP1450EndBal">'Page 8'!$N$34</definedName>
    <definedName name="StP1456EndBal">'Page 8'!$N$35</definedName>
    <definedName name="StP1460EndBal">'Page 8'!$N$36</definedName>
    <definedName name="StP1465EndBal">'Page 8'!$N$37</definedName>
    <definedName name="StP14701499EndBal">'Page 8'!$N$39</definedName>
    <definedName name="StP14XXEndBal">'Page 8'!$N$38</definedName>
    <definedName name="SumADM">Instructions!$C$125</definedName>
    <definedName name="SumGen">Instructions!$C$124</definedName>
    <definedName name="SupportServicesInstructionDetail">Instructions!$C$68</definedName>
    <definedName name="TeacherSalaries">Instructions!$C$35</definedName>
    <definedName name="TeacherSalariesLine1">Instructions!$C$36</definedName>
    <definedName name="TeacherSalariesLine2">Instructions!$C$37</definedName>
    <definedName name="TeacherSalariesLine3">Instructions!$C$38</definedName>
    <definedName name="TeacherSalariesLine4">Instructions!$C$39</definedName>
    <definedName name="TeacherSalariesLine5">Instructions!$C$40</definedName>
    <definedName name="TechnologyDetail">Instructions!$C$67</definedName>
    <definedName name="TotalActualGiftedExpenses">Instructions!$C$42</definedName>
    <definedName name="TotalCIP6100">'Page 5'!$I$48</definedName>
    <definedName name="TotalCIP6200">'Page 5'!$J$48</definedName>
    <definedName name="TotalCIP630064006500">'Page 5'!$K$48</definedName>
    <definedName name="TotalCIP6600">'Page 5'!$L$48</definedName>
    <definedName name="TotalCIP6800">'Page 5'!$M$48</definedName>
    <definedName name="TotalSEIP6100">'Page 5'!$I$26</definedName>
    <definedName name="TotalSEIP6200">'Page 5'!$J$26</definedName>
    <definedName name="TotalSEIP630064006500">'Page 5'!$K$26</definedName>
    <definedName name="TotalSEIP6600">'Page 5'!$L$26</definedName>
    <definedName name="TotalSEIP6800">'Page 5'!$M$26</definedName>
    <definedName name="TotExpSchoolwide">'Page 2'!$J$42</definedName>
    <definedName name="Unrestricted_Restricted_4100_4300">Instructions!$C$15</definedName>
    <definedName name="Unrestricted_Restricted_4200_4500">Instructions!$C$16</definedName>
    <definedName name="UtilitiesandEnergyServices">Instructions!$C$66</definedName>
    <definedName name="websitelink">Instructions!$C$8</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6" l="1"/>
  <c r="J38" i="4" l="1"/>
  <c r="F29" i="12"/>
  <c r="AC10" i="4" l="1"/>
  <c r="AC9" i="4"/>
  <c r="H19" i="8" l="1"/>
  <c r="H18" i="8"/>
  <c r="H16" i="8"/>
  <c r="M15" i="23" l="1" a="1"/>
  <c r="M15" i="23" s="1"/>
  <c r="M14" i="23" a="1"/>
  <c r="M14" i="23" s="1"/>
  <c r="M13" i="23" a="1"/>
  <c r="M13" i="23" s="1"/>
  <c r="N12" i="24" l="1"/>
  <c r="T20" i="2"/>
  <c r="E25" i="4" l="1"/>
  <c r="E21" i="4"/>
  <c r="E39" i="4" l="1"/>
  <c r="E35" i="4" a="1"/>
  <c r="E35" i="4" s="1"/>
  <c r="J35" i="4"/>
  <c r="S25" i="5"/>
  <c r="S16" i="5"/>
  <c r="F19" i="22"/>
  <c r="F18" i="22"/>
  <c r="F17" i="22"/>
  <c r="J39" i="4"/>
  <c r="J37" i="4"/>
  <c r="J36" i="4"/>
  <c r="J34" i="4"/>
  <c r="J33" i="4"/>
  <c r="J32" i="4"/>
  <c r="J31" i="4"/>
  <c r="J30" i="4"/>
  <c r="J29" i="4"/>
  <c r="J28" i="4"/>
  <c r="J22" i="4"/>
  <c r="J21" i="4"/>
  <c r="J20" i="4"/>
  <c r="J19" i="4"/>
  <c r="J18" i="4"/>
  <c r="J17" i="4"/>
  <c r="J16" i="4"/>
  <c r="J15" i="4"/>
  <c r="J14" i="4"/>
  <c r="J13" i="4"/>
  <c r="J12" i="4"/>
  <c r="J11" i="4"/>
  <c r="J10" i="4"/>
  <c r="J9" i="4"/>
  <c r="J8" i="4"/>
  <c r="J7" i="4"/>
  <c r="J6" i="4"/>
  <c r="S22" i="5"/>
  <c r="S21" i="5"/>
  <c r="S20" i="5"/>
  <c r="S19" i="5"/>
  <c r="S18" i="5"/>
  <c r="S17" i="5"/>
  <c r="F19" i="6"/>
  <c r="F18" i="6"/>
  <c r="F17" i="6"/>
  <c r="F16" i="6"/>
  <c r="F15" i="6"/>
  <c r="F14" i="6"/>
  <c r="N47" i="14"/>
  <c r="N43" i="14"/>
  <c r="N42" i="14"/>
  <c r="N41" i="14"/>
  <c r="N40" i="14"/>
  <c r="N39" i="14"/>
  <c r="N38" i="14"/>
  <c r="N37" i="14"/>
  <c r="N35" i="14"/>
  <c r="N25" i="14"/>
  <c r="N21" i="14"/>
  <c r="N20" i="14"/>
  <c r="N19" i="14"/>
  <c r="N18" i="14"/>
  <c r="N17" i="14"/>
  <c r="N16" i="14"/>
  <c r="N14" i="14"/>
  <c r="N13" i="14"/>
  <c r="H10" i="12"/>
  <c r="H9" i="12"/>
  <c r="H8" i="12"/>
  <c r="H7" i="12"/>
  <c r="J12" i="22" a="1"/>
  <c r="J12" i="22" s="1"/>
  <c r="J11" i="22" a="1"/>
  <c r="J11" i="22" s="1"/>
  <c r="J10" i="22" a="1"/>
  <c r="J10" i="22" s="1"/>
  <c r="J9" i="22" a="1"/>
  <c r="J9" i="22" s="1"/>
  <c r="J8" i="22" a="1"/>
  <c r="J8" i="22" s="1"/>
  <c r="I47" i="7"/>
  <c r="I46" i="7"/>
  <c r="I45" i="7"/>
  <c r="I44" i="7"/>
  <c r="I43" i="7"/>
  <c r="I41" i="7"/>
  <c r="I40" i="7"/>
  <c r="I39" i="7"/>
  <c r="I38" i="7"/>
  <c r="I36" i="7"/>
  <c r="I35" i="7"/>
  <c r="I34" i="7"/>
  <c r="I33" i="7"/>
  <c r="I32" i="7"/>
  <c r="I31" i="7"/>
  <c r="I30" i="7"/>
  <c r="I29" i="7"/>
  <c r="I28" i="7"/>
  <c r="I27" i="7"/>
  <c r="I25" i="7"/>
  <c r="I21" i="7"/>
  <c r="I20" i="7"/>
  <c r="I19" i="7"/>
  <c r="I18" i="7"/>
  <c r="I17" i="7"/>
  <c r="I16" i="7"/>
  <c r="I15" i="7"/>
  <c r="I14" i="7"/>
  <c r="I13" i="7"/>
  <c r="I12" i="7"/>
  <c r="I11" i="7"/>
  <c r="I10" i="7"/>
  <c r="I9" i="7"/>
  <c r="I7" i="7"/>
  <c r="B17" i="24" l="1"/>
  <c r="T30" i="6"/>
  <c r="F24" i="22"/>
  <c r="E38" i="4" a="1"/>
  <c r="E38" i="4" s="1"/>
  <c r="E37" i="4"/>
  <c r="E36" i="4"/>
  <c r="E34" i="4"/>
  <c r="E33" i="4"/>
  <c r="E32" i="4"/>
  <c r="E31" i="4"/>
  <c r="E30" i="4"/>
  <c r="E29" i="4"/>
  <c r="E28" i="4"/>
  <c r="E22" i="4"/>
  <c r="E20" i="4"/>
  <c r="E19" i="4"/>
  <c r="E18" i="4"/>
  <c r="E17" i="4"/>
  <c r="E16" i="4"/>
  <c r="E15" i="4"/>
  <c r="E14" i="4"/>
  <c r="E13" i="4"/>
  <c r="E12" i="4"/>
  <c r="E11" i="4"/>
  <c r="E10" i="4"/>
  <c r="E9" i="4"/>
  <c r="E8" i="4"/>
  <c r="E7" i="4"/>
  <c r="E6" i="4"/>
  <c r="D6" i="6"/>
  <c r="F48" i="14"/>
  <c r="F26" i="14"/>
  <c r="F15" i="12"/>
  <c r="K47" i="7"/>
  <c r="K46" i="7"/>
  <c r="K45" i="7"/>
  <c r="K44" i="7"/>
  <c r="K43" i="7"/>
  <c r="K41" i="7"/>
  <c r="K40" i="7"/>
  <c r="K39" i="7"/>
  <c r="K38" i="7"/>
  <c r="K36" i="7"/>
  <c r="K35" i="7"/>
  <c r="K34" i="7"/>
  <c r="K33" i="7"/>
  <c r="K32" i="7"/>
  <c r="K31" i="7"/>
  <c r="K30" i="7"/>
  <c r="K29" i="7"/>
  <c r="K28" i="7"/>
  <c r="K27" i="7"/>
  <c r="K25" i="7"/>
  <c r="K22" i="7"/>
  <c r="K20" i="7"/>
  <c r="K19" i="7"/>
  <c r="K18" i="7"/>
  <c r="K17" i="7"/>
  <c r="K16" i="7"/>
  <c r="K15" i="7"/>
  <c r="K14" i="7"/>
  <c r="K13" i="7"/>
  <c r="K12" i="7"/>
  <c r="K11" i="7"/>
  <c r="K10" i="7"/>
  <c r="K9" i="7"/>
  <c r="K7" i="7"/>
  <c r="K21" i="7"/>
  <c r="F40" i="4" l="1" a="1"/>
  <c r="F40" i="4" s="1"/>
  <c r="F23" i="4" a="1"/>
  <c r="F23" i="4" s="1"/>
  <c r="B20" i="24"/>
  <c r="B21" i="24"/>
  <c r="B18" i="24"/>
  <c r="B19" i="24"/>
  <c r="O1" i="26"/>
  <c r="I1" i="26"/>
  <c r="C1" i="26"/>
  <c r="E12" i="26"/>
  <c r="O20" i="26"/>
  <c r="O35" i="26"/>
  <c r="E1538" i="18" l="1"/>
  <c r="E1537" i="18"/>
  <c r="E1536" i="18"/>
  <c r="E1535" i="18"/>
  <c r="E1532" i="18" a="1"/>
  <c r="E1532" i="18" s="1"/>
  <c r="E1531" i="18" a="1"/>
  <c r="E1531" i="18" s="1"/>
  <c r="E1530" i="18" a="1"/>
  <c r="E1530" i="18" s="1"/>
  <c r="E1529" i="18" a="1"/>
  <c r="E1529" i="18" s="1"/>
  <c r="E1527" i="18"/>
  <c r="E1526" i="18"/>
  <c r="E1525" i="18"/>
  <c r="E1524" i="18"/>
  <c r="E1522" i="18" a="1"/>
  <c r="E1522" i="18" s="1"/>
  <c r="E1521" i="18" a="1"/>
  <c r="E1521" i="18" s="1"/>
  <c r="E1520" i="18" a="1"/>
  <c r="E1520" i="18" s="1"/>
  <c r="E1519" i="18"/>
  <c r="E1517" i="18"/>
  <c r="E1516" i="18"/>
  <c r="E1515" i="18"/>
  <c r="E1514" i="18"/>
  <c r="E1513" i="18"/>
  <c r="E1512" i="18"/>
  <c r="E1511" i="18"/>
  <c r="E1510" i="18"/>
  <c r="E1509" i="18"/>
  <c r="E1508" i="18"/>
  <c r="E1507" i="18"/>
  <c r="E1506" i="18"/>
  <c r="E1503" i="18" a="1"/>
  <c r="E1503" i="18" s="1"/>
  <c r="E1502" i="18" a="1"/>
  <c r="E1502" i="18" s="1"/>
  <c r="E1501" i="18" a="1"/>
  <c r="E1501" i="18" s="1"/>
  <c r="E1500" i="18" a="1"/>
  <c r="E1500" i="18" s="1"/>
  <c r="E1498" i="18" a="1"/>
  <c r="E1498" i="18" s="1"/>
  <c r="E1497" i="18" a="1"/>
  <c r="E1497" i="18" s="1"/>
  <c r="E1496" i="18" a="1"/>
  <c r="E1496" i="18" s="1"/>
  <c r="E1495" i="18" a="1"/>
  <c r="E1495" i="18" s="1"/>
  <c r="E1493" i="18" a="1"/>
  <c r="E1493" i="18" s="1"/>
  <c r="E1492" i="18" a="1"/>
  <c r="E1492" i="18" s="1"/>
  <c r="E1491" i="18" a="1"/>
  <c r="E1491" i="18" s="1"/>
  <c r="E1490" i="18" a="1"/>
  <c r="E1490" i="18" s="1"/>
  <c r="E1488" i="18" a="1"/>
  <c r="E1488" i="18" s="1"/>
  <c r="E1487" i="18" a="1"/>
  <c r="E1487" i="18" s="1"/>
  <c r="E1486" i="18" a="1"/>
  <c r="E1486" i="18" s="1"/>
  <c r="E1485" i="18" a="1"/>
  <c r="E1485" i="18"/>
  <c r="E1483" i="18" a="1"/>
  <c r="E1483" i="18" s="1"/>
  <c r="E1482" i="18" a="1"/>
  <c r="E1482" i="18" s="1"/>
  <c r="E1481" i="18" a="1"/>
  <c r="E1481" i="18" s="1"/>
  <c r="E1480" i="18" a="1"/>
  <c r="E1480" i="18" s="1"/>
  <c r="E1478" i="18" a="1"/>
  <c r="E1478" i="18" s="1"/>
  <c r="E1477" i="18" a="1"/>
  <c r="E1477" i="18" s="1"/>
  <c r="E1476" i="18" a="1"/>
  <c r="E1476" i="18" s="1"/>
  <c r="E1475" i="18" a="1"/>
  <c r="E1475" i="18" s="1"/>
  <c r="E1473" i="18" a="1"/>
  <c r="E1473" i="18" s="1"/>
  <c r="E1472" i="18" a="1"/>
  <c r="E1472" i="18" s="1"/>
  <c r="E1471" i="18" a="1"/>
  <c r="E1471" i="18" s="1"/>
  <c r="E1470" i="18" a="1"/>
  <c r="E1470" i="18" s="1"/>
  <c r="E1468" i="18" a="1"/>
  <c r="E1468" i="18" s="1"/>
  <c r="E1467" i="18" a="1"/>
  <c r="E1467" i="18" s="1"/>
  <c r="E1466" i="18" a="1"/>
  <c r="E1466" i="18" s="1"/>
  <c r="E1465" i="18" a="1"/>
  <c r="E1465" i="18" s="1"/>
  <c r="E1463" i="18" a="1"/>
  <c r="E1463" i="18" s="1"/>
  <c r="E1462" i="18" a="1"/>
  <c r="E1462" i="18" s="1"/>
  <c r="E1461" i="18" a="1"/>
  <c r="E1461" i="18" s="1"/>
  <c r="E1460" i="18" a="1"/>
  <c r="E1460" i="18" s="1"/>
  <c r="E1458" i="18" a="1"/>
  <c r="E1458" i="18" s="1"/>
  <c r="E1457" i="18" a="1"/>
  <c r="E1457" i="18" s="1"/>
  <c r="E1456" i="18" a="1"/>
  <c r="E1456" i="18" s="1"/>
  <c r="E1455" i="18" a="1"/>
  <c r="E1455" i="18" s="1"/>
  <c r="E1453" i="18" a="1"/>
  <c r="E1453" i="18" s="1"/>
  <c r="E1452" i="18" a="1"/>
  <c r="E1452" i="18" s="1"/>
  <c r="E1451" i="18" a="1"/>
  <c r="E1451" i="18" s="1"/>
  <c r="E1450" i="18" a="1"/>
  <c r="E1450" i="18" s="1"/>
  <c r="E1448" i="18"/>
  <c r="E1447" i="18"/>
  <c r="E1446" i="18"/>
  <c r="E1445" i="18"/>
  <c r="E1437" i="18"/>
  <c r="E1438" i="18" s="1"/>
  <c r="E1387" i="18"/>
  <c r="E1386" i="18"/>
  <c r="E1385" i="18"/>
  <c r="E1384" i="18"/>
  <c r="E1383" i="18"/>
  <c r="E1382" i="18"/>
  <c r="E1381" i="18"/>
  <c r="E1380" i="18"/>
  <c r="E1379" i="18"/>
  <c r="E1378" i="18"/>
  <c r="E1377" i="18"/>
  <c r="E1376" i="18"/>
  <c r="E1375" i="18"/>
  <c r="E1374" i="18"/>
  <c r="E1373" i="18"/>
  <c r="E1372" i="18"/>
  <c r="E1371" i="18"/>
  <c r="E1370" i="18"/>
  <c r="E1365" i="18"/>
  <c r="E1363" i="18"/>
  <c r="E1361" i="18"/>
  <c r="E1360" i="18"/>
  <c r="E1359" i="18"/>
  <c r="E1358" i="18"/>
  <c r="E1354" i="18"/>
  <c r="E1352" i="18"/>
  <c r="E1350" i="18"/>
  <c r="E1349" i="18"/>
  <c r="E1348" i="18"/>
  <c r="E1347" i="18"/>
  <c r="E1343" i="18"/>
  <c r="E1341" i="18"/>
  <c r="E1339" i="18"/>
  <c r="E1338" i="18"/>
  <c r="E1337" i="18"/>
  <c r="E1336" i="18"/>
  <c r="E1332" i="18"/>
  <c r="E1330" i="18"/>
  <c r="E1328" i="18"/>
  <c r="E1327" i="18"/>
  <c r="E1326" i="18"/>
  <c r="E1325" i="18"/>
  <c r="E1310" i="18"/>
  <c r="E1308" i="18"/>
  <c r="E1306" i="18"/>
  <c r="E1305" i="18"/>
  <c r="E1304" i="18"/>
  <c r="E1303" i="18"/>
  <c r="E1299" i="18"/>
  <c r="E1297" i="18"/>
  <c r="E1295" i="18"/>
  <c r="E1294" i="18"/>
  <c r="E1293" i="18"/>
  <c r="E1292" i="18"/>
  <c r="E1288" i="18"/>
  <c r="E1286" i="18"/>
  <c r="E1284" i="18"/>
  <c r="E1283" i="18"/>
  <c r="E1282" i="18"/>
  <c r="E1281" i="18"/>
  <c r="E1277" i="18"/>
  <c r="E1275" i="18"/>
  <c r="E1273" i="18"/>
  <c r="E1272" i="18"/>
  <c r="E1271" i="18"/>
  <c r="E1270" i="18"/>
  <c r="E1266" i="18"/>
  <c r="E1264" i="18"/>
  <c r="E1262" i="18"/>
  <c r="E1261" i="18"/>
  <c r="E1260" i="18"/>
  <c r="E1259" i="18"/>
  <c r="E1255" i="18"/>
  <c r="E1253" i="18"/>
  <c r="E1251" i="18"/>
  <c r="E1250" i="18"/>
  <c r="E1249" i="18"/>
  <c r="E1248" i="18"/>
  <c r="E1244" i="18"/>
  <c r="E1242" i="18"/>
  <c r="E1240" i="18"/>
  <c r="E1239" i="18"/>
  <c r="E1238" i="18"/>
  <c r="E1237" i="18"/>
  <c r="E1233" i="18"/>
  <c r="E1231" i="18"/>
  <c r="E1229" i="18"/>
  <c r="E1228" i="18"/>
  <c r="E1227" i="18"/>
  <c r="E1226" i="18"/>
  <c r="E1222" i="18"/>
  <c r="E1220" i="18"/>
  <c r="E1218" i="18"/>
  <c r="E1217" i="18"/>
  <c r="E1216" i="18"/>
  <c r="E1215" i="18"/>
  <c r="E1213" i="18"/>
  <c r="E1212" i="18"/>
  <c r="E1211" i="18"/>
  <c r="E1210" i="18"/>
  <c r="E1209" i="18"/>
  <c r="E1208" i="18"/>
  <c r="E1207" i="18"/>
  <c r="E1206" i="18"/>
  <c r="E1205" i="18"/>
  <c r="E1204" i="18"/>
  <c r="E1203" i="18"/>
  <c r="E1202" i="18"/>
  <c r="E1197" i="18"/>
  <c r="E1196" i="18"/>
  <c r="E1195" i="18"/>
  <c r="E1194" i="18"/>
  <c r="E1190" i="18"/>
  <c r="E1189" i="18"/>
  <c r="E1188" i="18"/>
  <c r="E1187" i="18"/>
  <c r="E1186" i="18"/>
  <c r="E1176" i="18"/>
  <c r="E1175" i="18"/>
  <c r="E1174" i="18"/>
  <c r="E1173" i="18"/>
  <c r="E1169" i="18"/>
  <c r="E1168" i="18"/>
  <c r="E1167" i="18"/>
  <c r="E1166" i="18"/>
  <c r="E1162" i="18"/>
  <c r="E1161" i="18"/>
  <c r="E1160" i="18"/>
  <c r="E1159" i="18"/>
  <c r="E1155" i="18"/>
  <c r="E1154" i="18"/>
  <c r="E1153" i="18"/>
  <c r="E1152" i="18"/>
  <c r="E1148" i="18"/>
  <c r="E1147" i="18"/>
  <c r="E1146" i="18"/>
  <c r="E1145" i="18"/>
  <c r="E1141" i="18"/>
  <c r="E1140" i="18"/>
  <c r="E1139" i="18"/>
  <c r="E1138" i="18"/>
  <c r="E1134" i="18"/>
  <c r="E1133" i="18"/>
  <c r="E1132" i="18"/>
  <c r="E1131" i="18"/>
  <c r="E1127" i="18"/>
  <c r="E1126" i="18"/>
  <c r="E1125" i="18"/>
  <c r="E1124" i="18"/>
  <c r="E1120" i="18"/>
  <c r="E1119" i="18"/>
  <c r="E1118" i="18"/>
  <c r="E1117" i="18"/>
  <c r="E1113" i="18"/>
  <c r="E1112" i="18"/>
  <c r="E1111" i="18"/>
  <c r="E1110" i="18"/>
  <c r="E1108" i="18"/>
  <c r="E1107" i="18"/>
  <c r="E1106" i="18"/>
  <c r="E1105" i="18"/>
  <c r="E1079" i="18"/>
  <c r="E1078" i="18"/>
  <c r="E1077" i="18"/>
  <c r="E1076" i="18"/>
  <c r="E1060" i="18"/>
  <c r="E1059" i="18"/>
  <c r="E1058" i="18"/>
  <c r="E1057" i="18"/>
  <c r="E1053" i="18"/>
  <c r="E1052" i="18"/>
  <c r="E1051" i="18"/>
  <c r="E1050" i="18"/>
  <c r="E1048" i="18"/>
  <c r="E1047" i="18"/>
  <c r="E1046" i="18"/>
  <c r="E1045" i="18"/>
  <c r="E1044" i="18"/>
  <c r="E1043" i="18"/>
  <c r="E1042" i="18"/>
  <c r="E1041" i="18"/>
  <c r="E1040" i="18"/>
  <c r="E1039" i="18"/>
  <c r="E1038" i="18"/>
  <c r="E1037" i="18"/>
  <c r="E1032" i="18"/>
  <c r="E1031" i="18"/>
  <c r="E1030" i="18"/>
  <c r="E1029" i="18"/>
  <c r="E1025" i="18"/>
  <c r="E1024" i="18"/>
  <c r="E1023" i="18"/>
  <c r="E1022" i="18"/>
  <c r="E1011" i="18"/>
  <c r="E1010" i="18"/>
  <c r="E1009" i="18"/>
  <c r="E1008" i="18"/>
  <c r="E1004" i="18"/>
  <c r="E1003" i="18"/>
  <c r="E1002" i="18"/>
  <c r="E1001" i="18"/>
  <c r="E997" i="18"/>
  <c r="E996" i="18"/>
  <c r="E995" i="18"/>
  <c r="E994" i="18"/>
  <c r="E990" i="18"/>
  <c r="E989" i="18"/>
  <c r="E988" i="18"/>
  <c r="E987" i="18"/>
  <c r="E983" i="18"/>
  <c r="E982" i="18"/>
  <c r="E981" i="18"/>
  <c r="E980" i="18"/>
  <c r="E976" i="18"/>
  <c r="E975" i="18"/>
  <c r="E974" i="18"/>
  <c r="E973" i="18"/>
  <c r="E969" i="18"/>
  <c r="E968" i="18"/>
  <c r="E967" i="18"/>
  <c r="E966" i="18"/>
  <c r="E962" i="18"/>
  <c r="E961" i="18"/>
  <c r="E960" i="18"/>
  <c r="E959" i="18"/>
  <c r="E955" i="18"/>
  <c r="E954" i="18"/>
  <c r="E953" i="18"/>
  <c r="E952" i="18"/>
  <c r="E948" i="18"/>
  <c r="E947" i="18"/>
  <c r="E946" i="18"/>
  <c r="E945" i="18"/>
  <c r="E733" i="18"/>
  <c r="E732" i="18"/>
  <c r="E731" i="18"/>
  <c r="E730" i="18"/>
  <c r="E729" i="18"/>
  <c r="E728" i="18"/>
  <c r="E727" i="18"/>
  <c r="E726" i="18"/>
  <c r="E725" i="18"/>
  <c r="E724" i="18"/>
  <c r="E723" i="18"/>
  <c r="E722" i="18"/>
  <c r="E717" i="18"/>
  <c r="E716" i="18"/>
  <c r="E715" i="18"/>
  <c r="E714" i="18"/>
  <c r="E710" i="18"/>
  <c r="E709" i="18"/>
  <c r="E708" i="18"/>
  <c r="E707" i="18"/>
  <c r="E696" i="18"/>
  <c r="E695" i="18"/>
  <c r="E694" i="18"/>
  <c r="E693" i="18"/>
  <c r="E689" i="18"/>
  <c r="E688" i="18"/>
  <c r="E687" i="18"/>
  <c r="E686" i="18"/>
  <c r="E682" i="18"/>
  <c r="E681" i="18"/>
  <c r="E680" i="18"/>
  <c r="E679" i="18"/>
  <c r="E675" i="18"/>
  <c r="E674" i="18"/>
  <c r="E673" i="18"/>
  <c r="E672" i="18"/>
  <c r="E668" i="18"/>
  <c r="E667" i="18"/>
  <c r="E666" i="18"/>
  <c r="E665" i="18"/>
  <c r="E661" i="18"/>
  <c r="E660" i="18"/>
  <c r="E659" i="18"/>
  <c r="E658" i="18"/>
  <c r="E654" i="18"/>
  <c r="E653" i="18"/>
  <c r="E652" i="18"/>
  <c r="E651" i="18"/>
  <c r="E647" i="18"/>
  <c r="E646" i="18"/>
  <c r="E645" i="18"/>
  <c r="E644" i="18"/>
  <c r="E640" i="18"/>
  <c r="E639" i="18"/>
  <c r="E638" i="18"/>
  <c r="E637" i="18"/>
  <c r="E633" i="18"/>
  <c r="E632" i="18"/>
  <c r="E631" i="18"/>
  <c r="E630" i="18"/>
  <c r="E601" i="18"/>
  <c r="E600" i="18"/>
  <c r="E599" i="18"/>
  <c r="E598" i="18"/>
  <c r="E597" i="18"/>
  <c r="E596" i="18"/>
  <c r="E595" i="18"/>
  <c r="E594" i="18"/>
  <c r="E593" i="18"/>
  <c r="E592" i="18"/>
  <c r="E591" i="18"/>
  <c r="E590" i="18"/>
  <c r="E588" i="18"/>
  <c r="E587" i="18"/>
  <c r="E586" i="18"/>
  <c r="E585" i="18"/>
  <c r="E584" i="18"/>
  <c r="E583" i="18"/>
  <c r="E582" i="18"/>
  <c r="E581" i="18"/>
  <c r="E580" i="18"/>
  <c r="E579" i="18"/>
  <c r="E578" i="18"/>
  <c r="E577" i="18"/>
  <c r="E575" i="18"/>
  <c r="E574" i="18"/>
  <c r="E573" i="18"/>
  <c r="E572" i="18"/>
  <c r="E571" i="18"/>
  <c r="E570" i="18"/>
  <c r="E569" i="18"/>
  <c r="E568" i="18"/>
  <c r="E567" i="18"/>
  <c r="E566" i="18"/>
  <c r="E565" i="18"/>
  <c r="E564" i="18"/>
  <c r="E543" i="18"/>
  <c r="E542" i="18"/>
  <c r="E541" i="18"/>
  <c r="E540" i="18"/>
  <c r="E539" i="18"/>
  <c r="E538" i="18"/>
  <c r="E537" i="18"/>
  <c r="E536" i="18"/>
  <c r="E516" i="18"/>
  <c r="E515" i="18"/>
  <c r="E514" i="18"/>
  <c r="E513" i="18"/>
  <c r="E512" i="18"/>
  <c r="E511" i="18"/>
  <c r="E510" i="18"/>
  <c r="E509" i="18"/>
  <c r="E462" i="18"/>
  <c r="E461" i="18"/>
  <c r="E460" i="18"/>
  <c r="E459" i="18"/>
  <c r="E458" i="18"/>
  <c r="E457" i="18"/>
  <c r="E456" i="18"/>
  <c r="E455" i="18"/>
  <c r="E435" i="18"/>
  <c r="E434" i="18"/>
  <c r="E433" i="18"/>
  <c r="E432" i="18"/>
  <c r="E431" i="18"/>
  <c r="E430" i="18"/>
  <c r="E429" i="18"/>
  <c r="E428" i="18"/>
  <c r="E408" i="18"/>
  <c r="E407" i="18"/>
  <c r="E406" i="18"/>
  <c r="E405" i="18"/>
  <c r="E404" i="18"/>
  <c r="E403" i="18"/>
  <c r="E402" i="18"/>
  <c r="E401" i="18"/>
  <c r="E381" i="18"/>
  <c r="E380" i="18"/>
  <c r="E379" i="18"/>
  <c r="E378" i="18"/>
  <c r="E377" i="18"/>
  <c r="E376" i="18"/>
  <c r="E375" i="18"/>
  <c r="E374" i="18"/>
  <c r="E354" i="18"/>
  <c r="E353" i="18"/>
  <c r="E352" i="18"/>
  <c r="E351" i="18"/>
  <c r="E350" i="18"/>
  <c r="E349" i="18"/>
  <c r="E348" i="18"/>
  <c r="E347" i="18"/>
  <c r="E327" i="18"/>
  <c r="E326" i="18"/>
  <c r="E325" i="18"/>
  <c r="E324" i="18"/>
  <c r="E323" i="18"/>
  <c r="E322" i="18"/>
  <c r="E321" i="18"/>
  <c r="E320" i="18"/>
  <c r="E300" i="18"/>
  <c r="E299" i="18"/>
  <c r="E298" i="18"/>
  <c r="E297" i="18"/>
  <c r="E296" i="18"/>
  <c r="E295" i="18"/>
  <c r="E294" i="18"/>
  <c r="E293" i="18"/>
  <c r="E273" i="18"/>
  <c r="E272" i="18"/>
  <c r="E271" i="18"/>
  <c r="E270" i="18"/>
  <c r="E269" i="18"/>
  <c r="E268" i="18"/>
  <c r="E267" i="18"/>
  <c r="E266" i="18"/>
  <c r="E246" i="18"/>
  <c r="E245" i="18"/>
  <c r="E244" i="18"/>
  <c r="E243" i="18"/>
  <c r="E242" i="18"/>
  <c r="E241" i="18"/>
  <c r="E240" i="18"/>
  <c r="E239" i="18"/>
  <c r="E219" i="18"/>
  <c r="E218" i="18"/>
  <c r="E217" i="18"/>
  <c r="E216" i="18"/>
  <c r="E215" i="18"/>
  <c r="E214" i="18"/>
  <c r="E213" i="18"/>
  <c r="E212" i="18"/>
  <c r="E210" i="18"/>
  <c r="E209" i="18"/>
  <c r="E208" i="18"/>
  <c r="E207" i="18"/>
  <c r="E206" i="18"/>
  <c r="E205" i="18"/>
  <c r="E204" i="18"/>
  <c r="E203" i="18"/>
  <c r="E202" i="18"/>
  <c r="E201" i="18"/>
  <c r="E200" i="18"/>
  <c r="E199" i="18"/>
  <c r="E194" i="18"/>
  <c r="E193" i="18"/>
  <c r="E192" i="18"/>
  <c r="E191" i="18"/>
  <c r="E187" i="18"/>
  <c r="E186" i="18"/>
  <c r="E185" i="18"/>
  <c r="E184" i="18"/>
  <c r="E173" i="18"/>
  <c r="E172" i="18"/>
  <c r="E171" i="18"/>
  <c r="E170" i="18"/>
  <c r="E166" i="18"/>
  <c r="E165" i="18"/>
  <c r="E164" i="18"/>
  <c r="E163" i="18"/>
  <c r="E159" i="18"/>
  <c r="E158" i="18"/>
  <c r="E157" i="18"/>
  <c r="E156" i="18"/>
  <c r="E152" i="18"/>
  <c r="E151" i="18"/>
  <c r="E150" i="18"/>
  <c r="E149" i="18"/>
  <c r="E145" i="18"/>
  <c r="E144" i="18"/>
  <c r="E143" i="18"/>
  <c r="E142" i="18"/>
  <c r="E138" i="18"/>
  <c r="E137" i="18"/>
  <c r="E136" i="18"/>
  <c r="E135" i="18"/>
  <c r="E131" i="18"/>
  <c r="E130" i="18"/>
  <c r="E129" i="18"/>
  <c r="E128" i="18"/>
  <c r="E124" i="18"/>
  <c r="E123" i="18"/>
  <c r="E122" i="18"/>
  <c r="E121" i="18"/>
  <c r="E117" i="18"/>
  <c r="E116" i="18"/>
  <c r="E115" i="18"/>
  <c r="E114" i="18"/>
  <c r="E110" i="18"/>
  <c r="E109" i="18"/>
  <c r="E108" i="18"/>
  <c r="E107" i="18"/>
  <c r="E105" i="18"/>
  <c r="E104" i="18"/>
  <c r="E103" i="18"/>
  <c r="E102" i="18"/>
  <c r="E101" i="18"/>
  <c r="E100" i="18"/>
  <c r="E99" i="18"/>
  <c r="E98" i="18"/>
  <c r="E97" i="18"/>
  <c r="E96" i="18"/>
  <c r="E95" i="18"/>
  <c r="E94" i="18"/>
  <c r="E89" i="18"/>
  <c r="E88" i="18"/>
  <c r="E87" i="18"/>
  <c r="E86" i="18"/>
  <c r="E82" i="18"/>
  <c r="E81" i="18"/>
  <c r="E80" i="18"/>
  <c r="E79" i="18"/>
  <c r="E68" i="18"/>
  <c r="E67" i="18"/>
  <c r="E66" i="18"/>
  <c r="E65" i="18"/>
  <c r="E61" i="18"/>
  <c r="E60" i="18"/>
  <c r="E59" i="18"/>
  <c r="E58" i="18"/>
  <c r="E54" i="18"/>
  <c r="E53" i="18"/>
  <c r="E52" i="18"/>
  <c r="E51" i="18"/>
  <c r="E47" i="18"/>
  <c r="E46" i="18"/>
  <c r="E45" i="18"/>
  <c r="E44" i="18"/>
  <c r="E40" i="18"/>
  <c r="E39" i="18"/>
  <c r="E38" i="18"/>
  <c r="E37" i="18"/>
  <c r="E33" i="18"/>
  <c r="E32" i="18"/>
  <c r="E31" i="18"/>
  <c r="E30" i="18"/>
  <c r="E26" i="18"/>
  <c r="E25" i="18"/>
  <c r="E24" i="18"/>
  <c r="E23" i="18"/>
  <c r="E19" i="18"/>
  <c r="E18" i="18"/>
  <c r="E17" i="18"/>
  <c r="E16" i="18"/>
  <c r="E12" i="18"/>
  <c r="E11" i="18"/>
  <c r="E10" i="18"/>
  <c r="E9" i="18"/>
  <c r="E5" i="18"/>
  <c r="E4" i="18"/>
  <c r="E3" i="18"/>
  <c r="E2" i="18"/>
  <c r="Y21" i="21"/>
  <c r="Y20" i="21"/>
  <c r="Y19" i="21"/>
  <c r="Y18" i="21"/>
  <c r="Y17" i="21"/>
  <c r="Y16" i="21"/>
  <c r="Y15" i="21"/>
  <c r="Y14" i="21"/>
  <c r="Y13" i="21"/>
  <c r="Y12" i="21"/>
  <c r="Y11" i="21"/>
  <c r="Y10" i="21"/>
  <c r="Y9" i="21"/>
  <c r="Y8" i="21"/>
  <c r="Y7" i="21"/>
  <c r="Y6" i="21"/>
  <c r="Y5" i="21"/>
  <c r="Y4" i="21"/>
  <c r="A11" i="17"/>
  <c r="B11" i="17" s="1"/>
  <c r="B3" i="20"/>
  <c r="B2" i="20"/>
  <c r="C7" i="20" s="1"/>
  <c r="B1" i="20"/>
  <c r="D39" i="25"/>
  <c r="N15" i="24" s="1"/>
  <c r="C39" i="25"/>
  <c r="L1" i="25"/>
  <c r="H1" i="25"/>
  <c r="C1" i="25"/>
  <c r="J22" i="24"/>
  <c r="I22" i="24"/>
  <c r="J18" i="24"/>
  <c r="I18" i="24"/>
  <c r="I1" i="24"/>
  <c r="F1" i="24"/>
  <c r="B1" i="24"/>
  <c r="F43" i="23"/>
  <c r="E43" i="23"/>
  <c r="D43" i="23"/>
  <c r="G42" i="23"/>
  <c r="G41" i="23"/>
  <c r="N40" i="23"/>
  <c r="G40" i="23"/>
  <c r="G39" i="23"/>
  <c r="G38" i="23"/>
  <c r="P32" i="23"/>
  <c r="O32" i="23"/>
  <c r="N32" i="23"/>
  <c r="M32" i="23"/>
  <c r="L32" i="23"/>
  <c r="P31" i="23"/>
  <c r="O31" i="23"/>
  <c r="N31" i="23"/>
  <c r="M31" i="23"/>
  <c r="L31" i="23"/>
  <c r="J31" i="23"/>
  <c r="E28" i="23"/>
  <c r="O22" i="23"/>
  <c r="L19" i="23"/>
  <c r="M17" i="23" a="1"/>
  <c r="M17" i="23" s="1"/>
  <c r="K17" i="23" a="1"/>
  <c r="K17" i="23" s="1"/>
  <c r="J17" i="23" a="1"/>
  <c r="J17" i="23" s="1"/>
  <c r="H17" i="23" a="1"/>
  <c r="H17" i="23" s="1"/>
  <c r="G17" i="23" a="1"/>
  <c r="G17" i="23" s="1"/>
  <c r="F17" i="23" a="1"/>
  <c r="F17" i="23" s="1"/>
  <c r="E17" i="23" a="1"/>
  <c r="E17" i="23" s="1"/>
  <c r="D17" i="23" a="1"/>
  <c r="D17" i="23" s="1"/>
  <c r="M16" i="23" a="1"/>
  <c r="M16" i="23" s="1"/>
  <c r="K16" i="23" a="1"/>
  <c r="K16" i="23" s="1"/>
  <c r="J16" i="23" a="1"/>
  <c r="J16" i="23" s="1"/>
  <c r="H16" i="23" a="1"/>
  <c r="H16" i="23" s="1"/>
  <c r="G16" i="23" a="1"/>
  <c r="G16" i="23" s="1"/>
  <c r="F16" i="23" a="1"/>
  <c r="F16" i="23" s="1"/>
  <c r="E16" i="23" a="1"/>
  <c r="E16" i="23" s="1"/>
  <c r="D16" i="23" a="1"/>
  <c r="D16" i="23" s="1"/>
  <c r="K15" i="23" a="1"/>
  <c r="K15" i="23" s="1"/>
  <c r="J15" i="23" a="1"/>
  <c r="J15" i="23" s="1"/>
  <c r="H15" i="23" a="1"/>
  <c r="H15" i="23" s="1"/>
  <c r="G15" i="23" a="1"/>
  <c r="G15" i="23" s="1"/>
  <c r="F15" i="23" a="1"/>
  <c r="F15" i="23" s="1"/>
  <c r="E15" i="23" a="1"/>
  <c r="E15" i="23" s="1"/>
  <c r="D15" i="23" a="1"/>
  <c r="D15" i="23" s="1"/>
  <c r="K14" i="23" a="1"/>
  <c r="K14" i="23" s="1"/>
  <c r="J14" i="23" a="1"/>
  <c r="J14" i="23" s="1"/>
  <c r="H14" i="23" a="1"/>
  <c r="H14" i="23" s="1"/>
  <c r="G14" i="23" a="1"/>
  <c r="G14" i="23" s="1"/>
  <c r="F14" i="23" a="1"/>
  <c r="F14" i="23" s="1"/>
  <c r="E14" i="23" a="1"/>
  <c r="E14" i="23" s="1"/>
  <c r="D14" i="23" a="1"/>
  <c r="D14" i="23" s="1"/>
  <c r="K13" i="23" a="1"/>
  <c r="K13" i="23" s="1"/>
  <c r="J13" i="23" a="1"/>
  <c r="J13" i="23" s="1"/>
  <c r="H13" i="23" a="1"/>
  <c r="H13" i="23" s="1"/>
  <c r="G13" i="23" a="1"/>
  <c r="G13" i="23" s="1"/>
  <c r="F13" i="23" a="1"/>
  <c r="F13" i="23" s="1"/>
  <c r="E13" i="23" a="1"/>
  <c r="E13" i="23" s="1"/>
  <c r="D13" i="23" a="1"/>
  <c r="D13" i="23" s="1"/>
  <c r="AA12" i="23" a="1"/>
  <c r="AA12" i="23" s="1"/>
  <c r="M12" i="23" s="1" a="1"/>
  <c r="M12" i="23" s="1"/>
  <c r="K12" i="23" a="1"/>
  <c r="K12" i="23" s="1"/>
  <c r="J12" i="23" a="1"/>
  <c r="J12" i="23" s="1"/>
  <c r="I12" i="23" a="1"/>
  <c r="I12" i="23" s="1"/>
  <c r="I19" i="23" s="1"/>
  <c r="H12" i="23" a="1"/>
  <c r="H12" i="23" s="1"/>
  <c r="G12" i="23" a="1"/>
  <c r="G12" i="23" s="1"/>
  <c r="F12" i="23" a="1"/>
  <c r="F12" i="23" s="1"/>
  <c r="E12" i="23" a="1"/>
  <c r="E12" i="23" s="1"/>
  <c r="D12" i="23" a="1"/>
  <c r="D12" i="23" s="1"/>
  <c r="M11" i="23" a="1"/>
  <c r="M11" i="23" s="1"/>
  <c r="K11" i="23" a="1"/>
  <c r="K11" i="23" s="1"/>
  <c r="J11" i="23" a="1"/>
  <c r="J11" i="23" s="1"/>
  <c r="H11" i="23" a="1"/>
  <c r="H11" i="23" s="1"/>
  <c r="G11" i="23" a="1"/>
  <c r="G11" i="23" s="1"/>
  <c r="F11" i="23" a="1"/>
  <c r="F11" i="23" s="1"/>
  <c r="E11" i="23" a="1"/>
  <c r="E11" i="23" s="1"/>
  <c r="D11" i="23" a="1"/>
  <c r="D11" i="23" s="1"/>
  <c r="M10" i="23" a="1"/>
  <c r="M10" i="23" s="1"/>
  <c r="K10" i="23" a="1"/>
  <c r="K10" i="23" s="1"/>
  <c r="J10" i="23" a="1"/>
  <c r="J10" i="23" s="1"/>
  <c r="H10" i="23" a="1"/>
  <c r="H10" i="23" s="1"/>
  <c r="G10" i="23" a="1"/>
  <c r="G10" i="23" s="1"/>
  <c r="G18" i="23" s="1" a="1"/>
  <c r="F10" i="23" a="1"/>
  <c r="F10" i="23" s="1"/>
  <c r="E10" i="23" a="1"/>
  <c r="E10" i="23" s="1"/>
  <c r="D10" i="23" a="1"/>
  <c r="D10" i="23" s="1"/>
  <c r="L1" i="23"/>
  <c r="H1" i="23"/>
  <c r="B1" i="23"/>
  <c r="K39" i="15"/>
  <c r="D35" i="15" a="1"/>
  <c r="D35" i="15" s="1"/>
  <c r="D34" i="15" a="1"/>
  <c r="D34" i="15" s="1"/>
  <c r="D33" i="15" a="1"/>
  <c r="D33" i="15" s="1"/>
  <c r="K23" i="15"/>
  <c r="AA12" i="15"/>
  <c r="AA11" i="15"/>
  <c r="K1" i="15"/>
  <c r="F1" i="15"/>
  <c r="B1" i="15"/>
  <c r="M40" i="4"/>
  <c r="I23" i="24" s="1"/>
  <c r="L40" i="4"/>
  <c r="J23" i="24" s="1"/>
  <c r="I40" i="4"/>
  <c r="F23" i="24" s="1"/>
  <c r="K39" i="4"/>
  <c r="G39" i="4"/>
  <c r="K38" i="4"/>
  <c r="G38" i="4"/>
  <c r="K37" i="4"/>
  <c r="G37" i="4"/>
  <c r="K36" i="4"/>
  <c r="G36" i="4"/>
  <c r="K35" i="4"/>
  <c r="G35" i="4"/>
  <c r="K34" i="4"/>
  <c r="G34" i="4"/>
  <c r="K33" i="4"/>
  <c r="G33" i="4"/>
  <c r="K32" i="4"/>
  <c r="G32" i="4"/>
  <c r="K31" i="4"/>
  <c r="G31" i="4"/>
  <c r="K30" i="4"/>
  <c r="G30" i="4"/>
  <c r="K29" i="4"/>
  <c r="G29" i="4"/>
  <c r="K28" i="4"/>
  <c r="J40" i="4"/>
  <c r="G23" i="24" s="1"/>
  <c r="G28" i="4"/>
  <c r="Z25" i="4" a="1"/>
  <c r="Z25" i="4" s="1"/>
  <c r="Q25" i="4" a="1"/>
  <c r="Q25" i="4" s="1"/>
  <c r="K25" i="4" a="1"/>
  <c r="K25" i="4" s="1"/>
  <c r="H25" i="4" a="1"/>
  <c r="H25" i="4" s="1"/>
  <c r="M23" i="4"/>
  <c r="M42" i="4" s="1"/>
  <c r="L23" i="4"/>
  <c r="I23" i="4"/>
  <c r="F22" i="24" s="1"/>
  <c r="B22" i="24"/>
  <c r="K22" i="4"/>
  <c r="H22" i="4"/>
  <c r="G22" i="4"/>
  <c r="K21" i="4"/>
  <c r="H21" i="4"/>
  <c r="G21" i="4"/>
  <c r="K20" i="4"/>
  <c r="H20" i="4"/>
  <c r="G20" i="4"/>
  <c r="K19" i="4"/>
  <c r="H19" i="4"/>
  <c r="G19" i="4"/>
  <c r="K18" i="4"/>
  <c r="H18" i="4"/>
  <c r="G18" i="4"/>
  <c r="K17" i="4"/>
  <c r="H17" i="4"/>
  <c r="G17" i="4"/>
  <c r="K16" i="4"/>
  <c r="H16" i="4"/>
  <c r="G16" i="4"/>
  <c r="K15" i="4"/>
  <c r="H15" i="4"/>
  <c r="G15" i="4"/>
  <c r="K14" i="4"/>
  <c r="H14" i="4"/>
  <c r="G14" i="4"/>
  <c r="K13" i="4"/>
  <c r="H13" i="4"/>
  <c r="G13" i="4"/>
  <c r="K12" i="4"/>
  <c r="H12" i="4"/>
  <c r="G12" i="4"/>
  <c r="K11" i="4"/>
  <c r="H11" i="4"/>
  <c r="G11" i="4"/>
  <c r="K10" i="4"/>
  <c r="H10" i="4"/>
  <c r="G10" i="4"/>
  <c r="K9" i="4"/>
  <c r="H9" i="4"/>
  <c r="G9" i="4"/>
  <c r="AC8" i="4"/>
  <c r="K8" i="4"/>
  <c r="H8" i="4"/>
  <c r="G8" i="4"/>
  <c r="AC7" i="4"/>
  <c r="K7" i="4"/>
  <c r="H7" i="4"/>
  <c r="G7" i="4"/>
  <c r="AC6" i="4"/>
  <c r="K6" i="4"/>
  <c r="H6" i="4"/>
  <c r="G6" i="4"/>
  <c r="N1" i="4"/>
  <c r="H1" i="4"/>
  <c r="B1" i="4"/>
  <c r="T23" i="5"/>
  <c r="D19" i="5"/>
  <c r="AA11" i="5"/>
  <c r="AA12" i="5" s="1"/>
  <c r="Q11" i="5"/>
  <c r="P11" i="5"/>
  <c r="O11" i="5"/>
  <c r="N11" i="5"/>
  <c r="M11" i="5"/>
  <c r="L11" i="5"/>
  <c r="K11" i="5"/>
  <c r="J11" i="5"/>
  <c r="I11" i="5"/>
  <c r="H11" i="5"/>
  <c r="G11" i="5"/>
  <c r="F11" i="5"/>
  <c r="R11" i="5" s="1"/>
  <c r="E11" i="5"/>
  <c r="R10" i="5"/>
  <c r="AA9" i="5"/>
  <c r="R9" i="5"/>
  <c r="AA8" i="5"/>
  <c r="R8" i="5"/>
  <c r="V1" i="5"/>
  <c r="L1" i="5"/>
  <c r="D1" i="5"/>
  <c r="G39" i="6"/>
  <c r="G41" i="6" s="1"/>
  <c r="F29" i="6"/>
  <c r="G20" i="6"/>
  <c r="G11" i="6"/>
  <c r="F11" i="6"/>
  <c r="AA9" i="6"/>
  <c r="AA8" i="6"/>
  <c r="AA7" i="6"/>
  <c r="U1" i="6"/>
  <c r="L1" i="6"/>
  <c r="C1" i="6"/>
  <c r="M47" i="14"/>
  <c r="L47" i="14"/>
  <c r="K47" i="14"/>
  <c r="J47" i="14"/>
  <c r="I47" i="14"/>
  <c r="M43" i="14"/>
  <c r="L43" i="14"/>
  <c r="K43" i="14"/>
  <c r="J43" i="14"/>
  <c r="I43" i="14"/>
  <c r="M42" i="14"/>
  <c r="L42" i="14"/>
  <c r="K42" i="14"/>
  <c r="J42" i="14"/>
  <c r="I42" i="14"/>
  <c r="M41" i="14"/>
  <c r="L41" i="14"/>
  <c r="K41" i="14"/>
  <c r="J41" i="14"/>
  <c r="I41" i="14"/>
  <c r="M40" i="14"/>
  <c r="L40" i="14"/>
  <c r="K40" i="14"/>
  <c r="J40" i="14"/>
  <c r="I40" i="14"/>
  <c r="M39" i="14"/>
  <c r="L39" i="14"/>
  <c r="K39" i="14"/>
  <c r="J39" i="14"/>
  <c r="I39" i="14"/>
  <c r="M38" i="14"/>
  <c r="L38" i="14"/>
  <c r="K38" i="14"/>
  <c r="J38" i="14"/>
  <c r="I38" i="14"/>
  <c r="M37" i="14"/>
  <c r="L37" i="14"/>
  <c r="K37" i="14"/>
  <c r="J37" i="14"/>
  <c r="I37" i="14"/>
  <c r="M35" i="14"/>
  <c r="L35" i="14"/>
  <c r="K35" i="14"/>
  <c r="J35" i="14"/>
  <c r="I35" i="14"/>
  <c r="H31" i="14"/>
  <c r="H30" i="14"/>
  <c r="M25" i="14"/>
  <c r="L25" i="14"/>
  <c r="K25" i="14"/>
  <c r="J25" i="14"/>
  <c r="I25" i="14"/>
  <c r="M21" i="14"/>
  <c r="L21" i="14"/>
  <c r="K21" i="14"/>
  <c r="J21" i="14"/>
  <c r="I21" i="14"/>
  <c r="M20" i="14"/>
  <c r="L20" i="14"/>
  <c r="K20" i="14"/>
  <c r="J20" i="14"/>
  <c r="I20" i="14"/>
  <c r="M19" i="14"/>
  <c r="L19" i="14"/>
  <c r="K19" i="14"/>
  <c r="J19" i="14"/>
  <c r="I19" i="14"/>
  <c r="M18" i="14"/>
  <c r="L18" i="14"/>
  <c r="K18" i="14"/>
  <c r="J18" i="14"/>
  <c r="I18" i="14"/>
  <c r="M17" i="14"/>
  <c r="L17" i="14"/>
  <c r="K17" i="14"/>
  <c r="J17" i="14"/>
  <c r="I17" i="14"/>
  <c r="M16" i="14"/>
  <c r="L16" i="14"/>
  <c r="K16" i="14"/>
  <c r="J16" i="14"/>
  <c r="I16" i="14"/>
  <c r="M15" i="14"/>
  <c r="L15" i="14"/>
  <c r="K15" i="14"/>
  <c r="J15" i="14"/>
  <c r="I15" i="14"/>
  <c r="M13" i="14"/>
  <c r="L13" i="14"/>
  <c r="K13" i="14"/>
  <c r="J13" i="14"/>
  <c r="I13" i="14"/>
  <c r="H9" i="14"/>
  <c r="H8" i="14"/>
  <c r="P1" i="14"/>
  <c r="K1" i="14"/>
  <c r="D1" i="14"/>
  <c r="G29" i="12"/>
  <c r="F17" i="12"/>
  <c r="G11" i="12"/>
  <c r="F11" i="12"/>
  <c r="I10" i="12"/>
  <c r="I9" i="12"/>
  <c r="I8" i="12"/>
  <c r="AA7" i="12"/>
  <c r="I7" i="12"/>
  <c r="M1" i="12"/>
  <c r="H1" i="12"/>
  <c r="C1" i="12"/>
  <c r="F27" i="22"/>
  <c r="F26" i="22"/>
  <c r="G18" i="22"/>
  <c r="H43" i="7" s="1"/>
  <c r="AA18" i="22"/>
  <c r="H12" i="22"/>
  <c r="G12" i="22"/>
  <c r="F12" i="22"/>
  <c r="H11" i="22"/>
  <c r="K11" i="22" s="1"/>
  <c r="I10" i="22"/>
  <c r="H10" i="22"/>
  <c r="G10" i="22"/>
  <c r="F10" i="22"/>
  <c r="I9" i="22"/>
  <c r="H9" i="22"/>
  <c r="G9" i="22"/>
  <c r="F9" i="22"/>
  <c r="I8" i="22"/>
  <c r="H8" i="22"/>
  <c r="G8" i="22"/>
  <c r="F8" i="22"/>
  <c r="J1" i="22"/>
  <c r="G1" i="22"/>
  <c r="D1" i="22"/>
  <c r="J44" i="7"/>
  <c r="G16" i="24"/>
  <c r="H41" i="7"/>
  <c r="G41" i="7"/>
  <c r="F41" i="7"/>
  <c r="E41" i="7"/>
  <c r="D41" i="7"/>
  <c r="G15" i="24"/>
  <c r="H40" i="7"/>
  <c r="G40" i="7"/>
  <c r="F40" i="7"/>
  <c r="E40" i="7"/>
  <c r="D40" i="7"/>
  <c r="G14" i="24"/>
  <c r="H39" i="7"/>
  <c r="G39" i="7"/>
  <c r="F39" i="7"/>
  <c r="E39" i="7"/>
  <c r="D39" i="7"/>
  <c r="G13" i="24"/>
  <c r="H38" i="7"/>
  <c r="G38" i="7"/>
  <c r="F38" i="7"/>
  <c r="E38" i="7"/>
  <c r="D38"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7" i="7"/>
  <c r="G27" i="7"/>
  <c r="F27" i="7"/>
  <c r="E27" i="7"/>
  <c r="D27" i="7"/>
  <c r="K37" i="7"/>
  <c r="H25" i="7"/>
  <c r="G25" i="7"/>
  <c r="F25" i="7"/>
  <c r="E25" i="7"/>
  <c r="D25" i="7"/>
  <c r="H22" i="7"/>
  <c r="G22" i="7"/>
  <c r="F22" i="7"/>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H13" i="7"/>
  <c r="G13" i="7"/>
  <c r="F13" i="7"/>
  <c r="E13" i="7"/>
  <c r="D13" i="7"/>
  <c r="H12" i="7"/>
  <c r="G12" i="7"/>
  <c r="F12" i="7"/>
  <c r="E12" i="7"/>
  <c r="D12" i="7"/>
  <c r="H11" i="7"/>
  <c r="G11" i="7"/>
  <c r="F11" i="7"/>
  <c r="E11" i="7"/>
  <c r="D11" i="7"/>
  <c r="H10" i="7"/>
  <c r="G10" i="7"/>
  <c r="F10" i="7"/>
  <c r="E10" i="7"/>
  <c r="D10" i="7"/>
  <c r="K23" i="7"/>
  <c r="H9" i="7"/>
  <c r="G9" i="7"/>
  <c r="F9" i="7"/>
  <c r="E9" i="7"/>
  <c r="D9" i="7"/>
  <c r="H7" i="7"/>
  <c r="G7" i="7"/>
  <c r="F7" i="7"/>
  <c r="E7" i="7"/>
  <c r="D7" i="7"/>
  <c r="L1" i="7"/>
  <c r="G1" i="7"/>
  <c r="B1" i="7"/>
  <c r="H40" i="8"/>
  <c r="H41" i="8" s="1"/>
  <c r="H39" i="8"/>
  <c r="H38" i="8"/>
  <c r="H37" i="8"/>
  <c r="H36" i="8"/>
  <c r="H35" i="8"/>
  <c r="H32" i="8"/>
  <c r="H33" i="8" s="1"/>
  <c r="H31" i="8"/>
  <c r="H30" i="8"/>
  <c r="H29" i="8"/>
  <c r="H28" i="8"/>
  <c r="H25" i="8"/>
  <c r="H26" i="8" s="1"/>
  <c r="H24" i="8"/>
  <c r="H23" i="8"/>
  <c r="H20" i="8"/>
  <c r="H21" i="8" s="1"/>
  <c r="H17" i="8"/>
  <c r="H15" i="8"/>
  <c r="H14" i="8"/>
  <c r="H13" i="8"/>
  <c r="H12" i="8"/>
  <c r="H11" i="8"/>
  <c r="J10" i="8"/>
  <c r="H9" i="8"/>
  <c r="H8" i="8"/>
  <c r="H7" i="8"/>
  <c r="H6" i="8"/>
  <c r="H5" i="8"/>
  <c r="M1" i="8"/>
  <c r="H1" i="8"/>
  <c r="C1" i="8"/>
  <c r="G43" i="23" l="1"/>
  <c r="H45" i="23" s="1"/>
  <c r="L42" i="4"/>
  <c r="AC11" i="4"/>
  <c r="I42" i="4"/>
  <c r="I11" i="12"/>
  <c r="F19" i="12" s="1"/>
  <c r="E481" i="18"/>
  <c r="F21" i="15" s="1"/>
  <c r="H43" i="8"/>
  <c r="AA13" i="15"/>
  <c r="AA14" i="15" s="1"/>
  <c r="D18" i="23" a="1"/>
  <c r="D18" i="23" s="1"/>
  <c r="D19" i="23" s="1"/>
  <c r="E1449" i="18"/>
  <c r="F18" i="23" a="1"/>
  <c r="F18" i="23" s="1"/>
  <c r="F19" i="23" s="1"/>
  <c r="AA10" i="6"/>
  <c r="D19" i="24"/>
  <c r="F18" i="12"/>
  <c r="E636" i="18"/>
  <c r="G11" i="15" s="1"/>
  <c r="E692" i="18"/>
  <c r="G19" i="15" s="1"/>
  <c r="E1014" i="18"/>
  <c r="H21" i="15" s="1"/>
  <c r="E64" i="18"/>
  <c r="D19" i="15" s="1"/>
  <c r="E1109" i="18"/>
  <c r="H10" i="8"/>
  <c r="L10" i="8" s="1"/>
  <c r="F42" i="4"/>
  <c r="H32" i="14"/>
  <c r="H48" i="14" s="1"/>
  <c r="I37" i="7"/>
  <c r="H11" i="12"/>
  <c r="G19" i="24" s="1"/>
  <c r="N22" i="14"/>
  <c r="N26" i="14" s="1"/>
  <c r="G20" i="24" s="1"/>
  <c r="N44" i="14"/>
  <c r="N48" i="14" s="1"/>
  <c r="G21" i="24" s="1"/>
  <c r="F20" i="6"/>
  <c r="I23" i="7"/>
  <c r="G11" i="24" s="1"/>
  <c r="J23" i="4"/>
  <c r="G22" i="24" s="1"/>
  <c r="S23" i="5"/>
  <c r="F28" i="22"/>
  <c r="N33" i="4"/>
  <c r="E643" i="18"/>
  <c r="G13" i="15" s="1"/>
  <c r="E671" i="18"/>
  <c r="N38" i="4"/>
  <c r="N39" i="4"/>
  <c r="N7" i="4"/>
  <c r="N22" i="4"/>
  <c r="N28" i="4"/>
  <c r="N34" i="4"/>
  <c r="N36" i="4"/>
  <c r="N6" i="4"/>
  <c r="H23" i="7"/>
  <c r="J14" i="7"/>
  <c r="L14" i="7" s="1"/>
  <c r="G23" i="7"/>
  <c r="J21" i="7"/>
  <c r="H37" i="7"/>
  <c r="J31" i="7"/>
  <c r="L31" i="7" s="1"/>
  <c r="H23" i="4"/>
  <c r="E22" i="24" s="1"/>
  <c r="N21" i="4"/>
  <c r="K40" i="4"/>
  <c r="H23" i="24" s="1"/>
  <c r="E454" i="18"/>
  <c r="F19" i="15" s="1"/>
  <c r="E1489" i="18"/>
  <c r="E1504" i="18"/>
  <c r="J36" i="7"/>
  <c r="L36" i="7" s="1"/>
  <c r="F13" i="22"/>
  <c r="D43" i="7" s="1"/>
  <c r="H10" i="14"/>
  <c r="H26" i="14" s="1"/>
  <c r="N13" i="4"/>
  <c r="N18" i="4"/>
  <c r="N9" i="4"/>
  <c r="G25" i="4"/>
  <c r="N25" i="4" s="1"/>
  <c r="G40" i="4"/>
  <c r="D23" i="24" s="1"/>
  <c r="N31" i="4"/>
  <c r="N35" i="4"/>
  <c r="E162" i="18"/>
  <c r="E18" i="15" s="1"/>
  <c r="E176" i="18"/>
  <c r="E21" i="15" s="1"/>
  <c r="N8" i="4"/>
  <c r="E15" i="18"/>
  <c r="D13" i="15" s="1"/>
  <c r="E120" i="18"/>
  <c r="E13" i="15" s="1"/>
  <c r="N11" i="4"/>
  <c r="N17" i="4"/>
  <c r="E155" i="18"/>
  <c r="H13" i="22"/>
  <c r="F43" i="7" s="1"/>
  <c r="N14" i="4"/>
  <c r="N19" i="4"/>
  <c r="E113" i="18"/>
  <c r="E11" i="15" s="1"/>
  <c r="G23" i="4"/>
  <c r="D22" i="24" s="1"/>
  <c r="K23" i="4"/>
  <c r="H22" i="24" s="1"/>
  <c r="E1158" i="18"/>
  <c r="O17" i="14"/>
  <c r="K10" i="22"/>
  <c r="K12" i="22"/>
  <c r="E1056" i="18"/>
  <c r="E1082" i="18"/>
  <c r="E1144" i="18"/>
  <c r="I16" i="15" s="1"/>
  <c r="E197" i="18"/>
  <c r="E26" i="15" s="1"/>
  <c r="E657" i="18"/>
  <c r="G15" i="15" s="1"/>
  <c r="E979" i="18"/>
  <c r="H16" i="15" s="1"/>
  <c r="E1123" i="18"/>
  <c r="I13" i="15" s="1"/>
  <c r="E1151" i="18"/>
  <c r="E1165" i="18"/>
  <c r="I18" i="15" s="1"/>
  <c r="E1179" i="18"/>
  <c r="I21" i="15" s="1"/>
  <c r="E720" i="18"/>
  <c r="G26" i="15" s="1"/>
  <c r="E965" i="18"/>
  <c r="H14" i="15" s="1"/>
  <c r="E1137" i="18"/>
  <c r="I15" i="15" s="1"/>
  <c r="E1454" i="18"/>
  <c r="E1484" i="18"/>
  <c r="E1523" i="18"/>
  <c r="J11" i="7"/>
  <c r="L11" i="7" s="1"/>
  <c r="J35" i="7"/>
  <c r="L35" i="7" s="1"/>
  <c r="O43" i="14"/>
  <c r="E29" i="18"/>
  <c r="D15" i="15" s="1"/>
  <c r="E71" i="18"/>
  <c r="D21" i="15" s="1"/>
  <c r="E92" i="18"/>
  <c r="D26" i="15" s="1"/>
  <c r="E190" i="18"/>
  <c r="E22" i="15" s="1"/>
  <c r="E238" i="18"/>
  <c r="F11" i="15" s="1"/>
  <c r="E1028" i="18"/>
  <c r="H22" i="15" s="1"/>
  <c r="E1302" i="18"/>
  <c r="O37" i="14"/>
  <c r="E713" i="18"/>
  <c r="G22" i="15" s="1"/>
  <c r="E972" i="18"/>
  <c r="H15" i="15" s="1"/>
  <c r="E986" i="18"/>
  <c r="E1000" i="18"/>
  <c r="H18" i="15" s="1"/>
  <c r="E1200" i="18"/>
  <c r="I26" i="15" s="1"/>
  <c r="E1313" i="18"/>
  <c r="E1368" i="18"/>
  <c r="E1469" i="18"/>
  <c r="G13" i="22"/>
  <c r="E43" i="7" s="1"/>
  <c r="I13" i="22"/>
  <c r="G43" i="7" s="1"/>
  <c r="O41" i="14"/>
  <c r="E8" i="18"/>
  <c r="D11" i="15" s="1"/>
  <c r="E22" i="18"/>
  <c r="D14" i="15" s="1"/>
  <c r="E678" i="18"/>
  <c r="E958" i="18"/>
  <c r="H13" i="15" s="1"/>
  <c r="E1291" i="18"/>
  <c r="E1464" i="18"/>
  <c r="K22" i="14"/>
  <c r="K26" i="14" s="1"/>
  <c r="F45" i="7" s="1"/>
  <c r="J44" i="14"/>
  <c r="J48" i="14" s="1"/>
  <c r="E46" i="7" s="1"/>
  <c r="E1193" i="18"/>
  <c r="I22" i="15" s="1"/>
  <c r="E1258" i="18"/>
  <c r="J7" i="7"/>
  <c r="L6" i="7" s="1"/>
  <c r="J15" i="7"/>
  <c r="L15" i="7" s="1"/>
  <c r="G37" i="7"/>
  <c r="J33" i="7"/>
  <c r="L33" i="7" s="1"/>
  <c r="O13" i="14"/>
  <c r="O19" i="14"/>
  <c r="J22" i="7"/>
  <c r="J32" i="7"/>
  <c r="L32" i="7" s="1"/>
  <c r="J22" i="14"/>
  <c r="J26" i="14" s="1"/>
  <c r="E45" i="7" s="1"/>
  <c r="O18" i="14"/>
  <c r="O25" i="14"/>
  <c r="O35" i="14"/>
  <c r="E43" i="18"/>
  <c r="E134" i="18"/>
  <c r="E15" i="15" s="1"/>
  <c r="E1007" i="18"/>
  <c r="H19" i="15" s="1"/>
  <c r="E1061" i="18"/>
  <c r="E1116" i="18"/>
  <c r="I11" i="15" s="1"/>
  <c r="E1214" i="18"/>
  <c r="I24" i="15" s="1"/>
  <c r="E1533" i="18"/>
  <c r="G18" i="23"/>
  <c r="G19" i="23" s="1"/>
  <c r="J13" i="7"/>
  <c r="J20" i="7"/>
  <c r="L20" i="7" s="1"/>
  <c r="J29" i="7"/>
  <c r="L29" i="7" s="1"/>
  <c r="J30" i="7"/>
  <c r="L30" i="7" s="1"/>
  <c r="J41" i="7"/>
  <c r="H16" i="24" s="1"/>
  <c r="L22" i="14"/>
  <c r="L26" i="14" s="1"/>
  <c r="G45" i="7" s="1"/>
  <c r="O21" i="14"/>
  <c r="K44" i="14"/>
  <c r="K48" i="14" s="1"/>
  <c r="F46" i="7" s="1"/>
  <c r="O40" i="14"/>
  <c r="O47" i="14"/>
  <c r="N13" i="23"/>
  <c r="N17" i="23"/>
  <c r="E36" i="18"/>
  <c r="D16" i="15" s="1"/>
  <c r="E50" i="18"/>
  <c r="E127" i="18"/>
  <c r="E14" i="15" s="1"/>
  <c r="E141" i="18"/>
  <c r="E16" i="15" s="1"/>
  <c r="E292" i="18"/>
  <c r="F14" i="15" s="1"/>
  <c r="E346" i="18"/>
  <c r="F16" i="15" s="1"/>
  <c r="E400" i="18"/>
  <c r="E427" i="18"/>
  <c r="F18" i="15" s="1"/>
  <c r="E576" i="18"/>
  <c r="E664" i="18"/>
  <c r="G16" i="15" s="1"/>
  <c r="E734" i="18"/>
  <c r="G24" i="15" s="1"/>
  <c r="E993" i="18"/>
  <c r="E1172" i="18"/>
  <c r="I19" i="15" s="1"/>
  <c r="E1499" i="18"/>
  <c r="J12" i="7"/>
  <c r="L12" i="7" s="1"/>
  <c r="J19" i="7"/>
  <c r="L19" i="7" s="1"/>
  <c r="J40" i="7"/>
  <c r="H15" i="24" s="1"/>
  <c r="M22" i="14"/>
  <c r="M26" i="14" s="1"/>
  <c r="H45" i="7" s="1"/>
  <c r="O20" i="14"/>
  <c r="L44" i="14"/>
  <c r="L48" i="14" s="1"/>
  <c r="G46" i="7" s="1"/>
  <c r="O39" i="14"/>
  <c r="N11" i="23"/>
  <c r="N15" i="23"/>
  <c r="E265" i="18"/>
  <c r="F13" i="15" s="1"/>
  <c r="E373" i="18"/>
  <c r="E535" i="18"/>
  <c r="F22" i="15" s="1"/>
  <c r="E602" i="18"/>
  <c r="E1247" i="18"/>
  <c r="E1357" i="18"/>
  <c r="D37" i="7"/>
  <c r="J28" i="7"/>
  <c r="L28" i="7" s="1"/>
  <c r="J39" i="7"/>
  <c r="H14" i="24" s="1"/>
  <c r="O16" i="14"/>
  <c r="M44" i="14"/>
  <c r="M48" i="14" s="1"/>
  <c r="H46" i="7" s="1"/>
  <c r="E85" i="18"/>
  <c r="D22" i="15" s="1"/>
  <c r="E106" i="18"/>
  <c r="D24" i="15" s="1"/>
  <c r="E169" i="18"/>
  <c r="E19" i="15" s="1"/>
  <c r="E211" i="18"/>
  <c r="E24" i="15" s="1"/>
  <c r="E1049" i="18"/>
  <c r="H24" i="15" s="1"/>
  <c r="E1459" i="18"/>
  <c r="E1479" i="18"/>
  <c r="E1518" i="18"/>
  <c r="J17" i="7"/>
  <c r="L17" i="7" s="1"/>
  <c r="J10" i="7"/>
  <c r="L10" i="7" s="1"/>
  <c r="J27" i="7"/>
  <c r="L26" i="7" s="1"/>
  <c r="J38" i="7"/>
  <c r="H13" i="24" s="1"/>
  <c r="O42" i="14"/>
  <c r="N12" i="23"/>
  <c r="E685" i="18"/>
  <c r="G18" i="15" s="1"/>
  <c r="E699" i="18"/>
  <c r="G21" i="15" s="1"/>
  <c r="E1035" i="18"/>
  <c r="H26" i="15" s="1"/>
  <c r="E1236" i="18"/>
  <c r="E1346" i="18"/>
  <c r="E1494" i="18"/>
  <c r="E1528" i="18"/>
  <c r="E1539" i="18"/>
  <c r="J18" i="7"/>
  <c r="L18" i="7" s="1"/>
  <c r="E23" i="7"/>
  <c r="J9" i="7"/>
  <c r="L8" i="7" s="1"/>
  <c r="J16" i="7"/>
  <c r="L16" i="7" s="1"/>
  <c r="J34" i="7"/>
  <c r="L34" i="7" s="1"/>
  <c r="O14" i="14"/>
  <c r="O38" i="14"/>
  <c r="N14" i="23"/>
  <c r="E57" i="18"/>
  <c r="D18" i="15" s="1"/>
  <c r="E148" i="18"/>
  <c r="E319" i="18"/>
  <c r="F15" i="15" s="1"/>
  <c r="E589" i="18"/>
  <c r="E951" i="18"/>
  <c r="H11" i="15" s="1"/>
  <c r="E1130" i="18"/>
  <c r="I14" i="15" s="1"/>
  <c r="E1280" i="18"/>
  <c r="E1388" i="18"/>
  <c r="E1474" i="18"/>
  <c r="F37" i="7"/>
  <c r="N16" i="23"/>
  <c r="E562" i="18"/>
  <c r="F26" i="15" s="1"/>
  <c r="E650" i="18"/>
  <c r="G14" i="15" s="1"/>
  <c r="E1225" i="18"/>
  <c r="E1269" i="18"/>
  <c r="E1335" i="18"/>
  <c r="D36" i="15" s="1"/>
  <c r="F23" i="7"/>
  <c r="K9" i="22"/>
  <c r="I22" i="14"/>
  <c r="I26" i="14" s="1"/>
  <c r="D45" i="7" s="1"/>
  <c r="I44" i="14"/>
  <c r="I48" i="14" s="1"/>
  <c r="D46" i="7" s="1"/>
  <c r="N12" i="4"/>
  <c r="N30" i="4"/>
  <c r="N37" i="4"/>
  <c r="D23" i="7"/>
  <c r="J25" i="7"/>
  <c r="E37" i="7"/>
  <c r="K8" i="22"/>
  <c r="N15" i="4"/>
  <c r="N32" i="4"/>
  <c r="AA20" i="8"/>
  <c r="N10" i="23"/>
  <c r="N10" i="4"/>
  <c r="N20" i="4"/>
  <c r="N29" i="4"/>
  <c r="L44" i="7"/>
  <c r="N16" i="4"/>
  <c r="J13" i="22"/>
  <c r="G18" i="24" s="1"/>
  <c r="K42" i="7"/>
  <c r="E23" i="4"/>
  <c r="T31" i="6"/>
  <c r="T32" i="6" s="1"/>
  <c r="E40" i="4"/>
  <c r="B23" i="24" s="1"/>
  <c r="C9" i="25" s="1"/>
  <c r="H18" i="23" a="1"/>
  <c r="H18" i="23" s="1"/>
  <c r="H19" i="23" s="1"/>
  <c r="J18" i="23" a="1"/>
  <c r="J18" i="23" s="1"/>
  <c r="J19" i="23" s="1"/>
  <c r="E18" i="23" a="1"/>
  <c r="E18" i="23" s="1"/>
  <c r="E19" i="23" s="1"/>
  <c r="K18" i="23" a="1"/>
  <c r="K18" i="23" s="1"/>
  <c r="K19" i="23" s="1"/>
  <c r="M18" i="23" a="1"/>
  <c r="M18" i="23" s="1"/>
  <c r="M19" i="23" s="1"/>
  <c r="E17" i="15" l="1"/>
  <c r="H19" i="24"/>
  <c r="K19" i="24" s="1"/>
  <c r="I17" i="15"/>
  <c r="I23" i="15" s="1"/>
  <c r="E50" i="15"/>
  <c r="E48" i="15"/>
  <c r="F20" i="12"/>
  <c r="I42" i="7"/>
  <c r="I48" i="7" s="1"/>
  <c r="L21" i="7"/>
  <c r="H42" i="7"/>
  <c r="G42" i="4"/>
  <c r="J14" i="15"/>
  <c r="G17" i="15"/>
  <c r="G23" i="15" s="1"/>
  <c r="H42" i="4"/>
  <c r="K42" i="4"/>
  <c r="J47" i="7" s="1"/>
  <c r="L47" i="7" s="1"/>
  <c r="K23" i="24"/>
  <c r="J26" i="15"/>
  <c r="K22" i="24"/>
  <c r="J15" i="15"/>
  <c r="F17" i="15"/>
  <c r="F23" i="15" s="1"/>
  <c r="H17" i="15"/>
  <c r="N23" i="4"/>
  <c r="J19" i="15"/>
  <c r="L41" i="7"/>
  <c r="L40" i="7"/>
  <c r="J16" i="15"/>
  <c r="D21" i="24"/>
  <c r="D18" i="24"/>
  <c r="F29" i="22"/>
  <c r="E1534" i="18"/>
  <c r="J24" i="15"/>
  <c r="G42" i="7"/>
  <c r="D20" i="24"/>
  <c r="G12" i="24"/>
  <c r="N40" i="4"/>
  <c r="J42" i="4"/>
  <c r="J45" i="7"/>
  <c r="L45" i="7" s="1"/>
  <c r="J37" i="7"/>
  <c r="H12" i="24" s="1"/>
  <c r="F42" i="7"/>
  <c r="J21" i="15"/>
  <c r="O22" i="14"/>
  <c r="O26" i="14" s="1"/>
  <c r="H20" i="24" s="1"/>
  <c r="J22" i="15"/>
  <c r="J18" i="15"/>
  <c r="L39" i="7"/>
  <c r="J43" i="7"/>
  <c r="E1036" i="18"/>
  <c r="H25" i="15" s="1"/>
  <c r="E42" i="7"/>
  <c r="D42" i="7"/>
  <c r="K13" i="22"/>
  <c r="F30" i="22" s="1"/>
  <c r="J13" i="15"/>
  <c r="E629" i="18"/>
  <c r="F24" i="15" s="1"/>
  <c r="E1369" i="18"/>
  <c r="J46" i="7"/>
  <c r="L46" i="7" s="1"/>
  <c r="J23" i="7"/>
  <c r="L23" i="7" s="1"/>
  <c r="D17" i="15"/>
  <c r="D23" i="15" s="1"/>
  <c r="L13" i="7"/>
  <c r="O44" i="14"/>
  <c r="O48" i="14" s="1"/>
  <c r="P48" i="14" s="1"/>
  <c r="E721" i="18"/>
  <c r="G25" i="15" s="1"/>
  <c r="L24" i="7"/>
  <c r="E1505" i="18"/>
  <c r="E23" i="15"/>
  <c r="E198" i="18"/>
  <c r="E25" i="15" s="1"/>
  <c r="L38" i="7"/>
  <c r="E93" i="18"/>
  <c r="D25" i="15" s="1"/>
  <c r="E1201" i="18"/>
  <c r="I25" i="15" s="1"/>
  <c r="E563" i="18"/>
  <c r="N19" i="23"/>
  <c r="F45" i="23" s="1"/>
  <c r="F46" i="23" s="1"/>
  <c r="J11" i="15"/>
  <c r="N18" i="23"/>
  <c r="E42" i="4"/>
  <c r="K48" i="7"/>
  <c r="J17" i="15" l="1"/>
  <c r="J23" i="15" s="1"/>
  <c r="N42" i="4"/>
  <c r="H23" i="15"/>
  <c r="L37" i="7"/>
  <c r="D17" i="24"/>
  <c r="K17" i="24" s="1"/>
  <c r="P26" i="14"/>
  <c r="F31" i="22"/>
  <c r="K20" i="24"/>
  <c r="O30" i="23"/>
  <c r="H18" i="24"/>
  <c r="K18" i="24" s="1"/>
  <c r="F25" i="15"/>
  <c r="N30" i="23"/>
  <c r="H11" i="24"/>
  <c r="Q34" i="2"/>
  <c r="L43" i="7"/>
  <c r="J25" i="15"/>
  <c r="J42" i="7"/>
  <c r="L42" i="7" s="1"/>
  <c r="H21" i="24"/>
  <c r="K21" i="24" s="1"/>
  <c r="M30" i="23"/>
  <c r="L30" i="23"/>
  <c r="P30" i="23"/>
  <c r="Q33" i="2" l="1"/>
  <c r="C11" i="25"/>
  <c r="C21" i="25" s="1"/>
  <c r="J48" i="7"/>
  <c r="A16" i="17" s="1"/>
  <c r="B16" i="17" s="1"/>
  <c r="A4" i="17" l="1"/>
  <c r="B4" i="17" s="1"/>
  <c r="M12" i="22"/>
  <c r="B14" i="2" s="1"/>
  <c r="A13" i="17"/>
  <c r="B13" i="17" s="1"/>
  <c r="A14" i="17"/>
  <c r="B14" i="17" s="1"/>
  <c r="A15" i="17"/>
  <c r="B15" i="17" s="1"/>
  <c r="A12" i="17"/>
  <c r="B12" i="17" s="1"/>
  <c r="N10" i="7"/>
  <c r="B12" i="2" s="1"/>
  <c r="A10" i="17"/>
  <c r="B10" i="17" s="1"/>
  <c r="A7" i="17"/>
  <c r="B7" i="17" s="1"/>
  <c r="N9" i="7"/>
  <c r="B10" i="2" s="1"/>
  <c r="K11" i="12"/>
  <c r="K10" i="12"/>
  <c r="B18" i="2" s="1"/>
  <c r="H33" i="6"/>
  <c r="B16" i="2" s="1"/>
  <c r="A5" i="17"/>
  <c r="B5" i="17" s="1"/>
  <c r="L48" i="7"/>
  <c r="A8" i="17"/>
  <c r="B8" i="17" s="1"/>
  <c r="A6" i="17"/>
  <c r="B6" i="17" s="1"/>
  <c r="A3" i="17"/>
  <c r="B3" i="17" s="1"/>
  <c r="A9" i="17"/>
  <c r="B9" i="17" s="1"/>
  <c r="A1" i="17" l="1"/>
  <c r="L2" i="2"/>
  <c r="L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<sst xmlns="http://schemas.openxmlformats.org/spreadsheetml/2006/main" count="3799" uniqueCount="1534">
  <si>
    <t>Charter school</t>
  </si>
  <si>
    <t>County</t>
  </si>
  <si>
    <t>CTDS number</t>
  </si>
  <si>
    <t>File origination date:</t>
  </si>
  <si>
    <t>Charter name</t>
  </si>
  <si>
    <t>d.b.a. (as applicable)</t>
  </si>
  <si>
    <t>State of Arizona</t>
  </si>
  <si>
    <t>Charter School Annual Financial Report</t>
  </si>
  <si>
    <t>Education's website on</t>
  </si>
  <si>
    <t xml:space="preserve">contain(s) the data for the annual financial report </t>
  </si>
  <si>
    <t>described at left.</t>
  </si>
  <si>
    <t>Charter school official signature</t>
  </si>
  <si>
    <t>Email</t>
  </si>
  <si>
    <t>Charter school official (typed name)</t>
  </si>
  <si>
    <t>Total expenses by project</t>
  </si>
  <si>
    <t>1. Schoolwide and Other Special Projects (from page 2, line 33)</t>
  </si>
  <si>
    <t>$</t>
  </si>
  <si>
    <t>Signed</t>
  </si>
  <si>
    <t>Title</t>
  </si>
  <si>
    <t>2. Classroom Site Project (from page 2, line 34)</t>
  </si>
  <si>
    <t xml:space="preserve"> </t>
  </si>
  <si>
    <t>Revenue</t>
  </si>
  <si>
    <t>1000 Local sources</t>
  </si>
  <si>
    <t>Actual</t>
  </si>
  <si>
    <t>1.</t>
  </si>
  <si>
    <t xml:space="preserve">    1310  Tuition from individuals</t>
  </si>
  <si>
    <t>2.</t>
  </si>
  <si>
    <t xml:space="preserve">    1320  Tuition from other Arizona schools or districts</t>
  </si>
  <si>
    <t>3.</t>
  </si>
  <si>
    <t xml:space="preserve">    1410  Transportation fees from individuals</t>
  </si>
  <si>
    <t>1600 Food service revenues (from accounting data)</t>
  </si>
  <si>
    <t>4.</t>
  </si>
  <si>
    <t xml:space="preserve">    1420  Transportation fees from other Arizona schools or districts</t>
  </si>
  <si>
    <t>5.</t>
  </si>
  <si>
    <t xml:space="preserve">    1500  Earnings on investments</t>
  </si>
  <si>
    <t>6.</t>
  </si>
  <si>
    <t>7.</t>
  </si>
  <si>
    <t xml:space="preserve">    1700  School activities </t>
  </si>
  <si>
    <t>8.</t>
  </si>
  <si>
    <t xml:space="preserve">    1750  Revenue from enterprise activities</t>
  </si>
  <si>
    <t>9.</t>
  </si>
  <si>
    <t xml:space="preserve">    1790  Extracurricular activities fees tax credit</t>
  </si>
  <si>
    <t>10.</t>
  </si>
  <si>
    <t xml:space="preserve">    1800  Revenue from community services activities</t>
  </si>
  <si>
    <t>11.</t>
  </si>
  <si>
    <t>12.</t>
  </si>
  <si>
    <t xml:space="preserve">    1920  Contributions and donations from private sources</t>
  </si>
  <si>
    <t>13.</t>
  </si>
  <si>
    <t xml:space="preserve">    Other revenue from local sources (specify)</t>
  </si>
  <si>
    <t>14.</t>
  </si>
  <si>
    <t>2000 Intermediate sources</t>
  </si>
  <si>
    <t>15.</t>
  </si>
  <si>
    <t xml:space="preserve">    2100  Unrestricted</t>
  </si>
  <si>
    <t>16.</t>
  </si>
  <si>
    <t xml:space="preserve">    2200  Restricted</t>
  </si>
  <si>
    <t>17.</t>
  </si>
  <si>
    <t xml:space="preserve">    Other revenue from intermediate sources (specify)</t>
  </si>
  <si>
    <t>18.</t>
  </si>
  <si>
    <t>3000 State sources</t>
  </si>
  <si>
    <t>19.</t>
  </si>
  <si>
    <t xml:space="preserve">    3110  State Equalization Assistance</t>
  </si>
  <si>
    <t>20.</t>
  </si>
  <si>
    <t xml:space="preserve">    3130-3150  Other unrestricted</t>
  </si>
  <si>
    <t>21.</t>
  </si>
  <si>
    <t xml:space="preserve">    3200  Restricted</t>
  </si>
  <si>
    <t>22.</t>
  </si>
  <si>
    <t xml:space="preserve">    3900  Revenue for/on behalf of the school</t>
  </si>
  <si>
    <t>23.</t>
  </si>
  <si>
    <t xml:space="preserve">    Other revenue from State sources (specify)</t>
  </si>
  <si>
    <t>24.</t>
  </si>
  <si>
    <t>4000 Federal sources</t>
  </si>
  <si>
    <t>25.</t>
  </si>
  <si>
    <t xml:space="preserve">    4100, 4300  Unrestricted/restricted received directly from the federal government</t>
  </si>
  <si>
    <t>26.</t>
  </si>
  <si>
    <t xml:space="preserve">    4200, 4500  Unrestricted/restricted received from the federal government through the State</t>
  </si>
  <si>
    <t>27.</t>
  </si>
  <si>
    <t xml:space="preserve">    4700 Revenue received from the federal government through other intermediate agencies</t>
  </si>
  <si>
    <t>28.</t>
  </si>
  <si>
    <t xml:space="preserve">    4800 Federal impact aid</t>
  </si>
  <si>
    <t>29.</t>
  </si>
  <si>
    <t xml:space="preserve">    4900 Revenue for/on behalf of the school</t>
  </si>
  <si>
    <t>30.</t>
  </si>
  <si>
    <t xml:space="preserve">    Other revenue from federal sources (specify)</t>
  </si>
  <si>
    <t>31.</t>
  </si>
  <si>
    <t>32.</t>
  </si>
  <si>
    <t>Employee</t>
  </si>
  <si>
    <t>Purchased</t>
  </si>
  <si>
    <t>Totals</t>
  </si>
  <si>
    <t>% Increase/ decrease in actual</t>
  </si>
  <si>
    <t>Expenses</t>
  </si>
  <si>
    <t>Salaries</t>
  </si>
  <si>
    <t>benefits</t>
  </si>
  <si>
    <t>services</t>
  </si>
  <si>
    <t>Supplies</t>
  </si>
  <si>
    <t>Other</t>
  </si>
  <si>
    <t>Prior year</t>
  </si>
  <si>
    <t>1000 Schoolwide Project and 1500-1999 Other Special Projects</t>
  </si>
  <si>
    <t>6300, 6400, 6500</t>
  </si>
  <si>
    <t>Budget</t>
  </si>
  <si>
    <t>actual</t>
  </si>
  <si>
    <t>100 Regular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</si>
  <si>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</si>
  <si>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</si>
  <si>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</si>
  <si>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</si>
  <si>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</si>
  <si>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</si>
  <si>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</si>
  <si>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</si>
  <si>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</si>
  <si>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</si>
  <si>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t>
  </si>
  <si>
    <t xml:space="preserve">    5000 Debt service</t>
  </si>
  <si>
    <t>610 School-sponsored cocurricular activities</t>
  </si>
  <si>
    <t>620 School-sponsored athletics</t>
  </si>
  <si>
    <t>630 Other instructional programs</t>
  </si>
  <si>
    <t>700, 800, 900 Other programs</t>
  </si>
  <si>
    <t xml:space="preserve">    Subtotal (lines 1-15)</t>
  </si>
  <si>
    <t>200 Special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</si>
  <si>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</si>
  <si>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</si>
  <si>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</si>
  <si>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</si>
  <si>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</si>
  <si>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</si>
  <si>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</si>
  <si>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</si>
  <si>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</si>
  <si>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</si>
  <si>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 </t>
  </si>
  <si>
    <t xml:space="preserve">     5000 Debt service</t>
  </si>
  <si>
    <t xml:space="preserve">     Subtotal (lines 17-27)</t>
  </si>
  <si>
    <t>400 Pupil transportation</t>
  </si>
  <si>
    <t>530 Dropout prevention programs</t>
  </si>
  <si>
    <t>540 Joint career &amp; technical ed. &amp; vocational ed. center</t>
  </si>
  <si>
    <t>550 K-3 Reading</t>
  </si>
  <si>
    <t xml:space="preserve">     Subtotal (lines 16 and 28-32)</t>
  </si>
  <si>
    <t>33.</t>
  </si>
  <si>
    <t>34.</t>
  </si>
  <si>
    <t xml:space="preserve">Instructional Improvement Project </t>
  </si>
  <si>
    <t>35.</t>
  </si>
  <si>
    <t>English Language Learner Project (from page 5, line 14)</t>
  </si>
  <si>
    <t>36.</t>
  </si>
  <si>
    <t>Compensatory Instruction Project (from page 5, line 28 )</t>
  </si>
  <si>
    <t>37.</t>
  </si>
  <si>
    <t>38.</t>
  </si>
  <si>
    <t xml:space="preserve">     Total (lines 33-38)</t>
  </si>
  <si>
    <t>39.</t>
  </si>
  <si>
    <t xml:space="preserve">  County</t>
  </si>
  <si>
    <t xml:space="preserve">Employee </t>
  </si>
  <si>
    <t xml:space="preserve">Purchased </t>
  </si>
  <si>
    <t>Classroom Site Project 1010</t>
  </si>
  <si>
    <t>1000 Instructions</t>
  </si>
  <si>
    <t>2100 Support services—students</t>
  </si>
  <si>
    <t>2200 Support services—instructions</t>
  </si>
  <si>
    <t>2300 Support services—general administration</t>
  </si>
  <si>
    <t>3300 Community services operation</t>
  </si>
  <si>
    <t>Total Classroom Site Project (lines 1-5)</t>
  </si>
  <si>
    <t>Classroom Site Project 1010 property payments</t>
  </si>
  <si>
    <t>Property disbursements</t>
  </si>
  <si>
    <t>Interest 6850</t>
  </si>
  <si>
    <t>Redemption of principal</t>
  </si>
  <si>
    <t>Classroom Site Project</t>
  </si>
  <si>
    <t>Additional Classroom Site Project information</t>
  </si>
  <si>
    <t>Beginning project balance</t>
  </si>
  <si>
    <t>Revenues</t>
  </si>
  <si>
    <t>Interest earned</t>
  </si>
  <si>
    <t>Support</t>
  </si>
  <si>
    <t>Instruction</t>
  </si>
  <si>
    <t>Instructional Improvement Project 1020</t>
  </si>
  <si>
    <t>Teacher compensation increases</t>
  </si>
  <si>
    <t>Class size reduction</t>
  </si>
  <si>
    <t>Dropout prevention programs</t>
  </si>
  <si>
    <t>Instructional improvement programs</t>
  </si>
  <si>
    <t>Total Inst. Imp. expenses (lines 1-4, should equal line 9 below)</t>
  </si>
  <si>
    <t>Additional Instructional Improvement Project information</t>
  </si>
  <si>
    <t>Expenses (line 5 above)</t>
  </si>
  <si>
    <t>Arizona Industry Credentials Incentive Project—detailed expenses</t>
  </si>
  <si>
    <t>Teacher instructional costs and professional development</t>
  </si>
  <si>
    <t>Student cost of certification, credentialing or licensure</t>
  </si>
  <si>
    <t>Developmental costs</t>
  </si>
  <si>
    <t>Instructional hardware, software or supplies</t>
  </si>
  <si>
    <t>Career exploration</t>
  </si>
  <si>
    <t>Total Arizona Industry Credentials Incentives expenses</t>
  </si>
  <si>
    <t>Beginning</t>
  </si>
  <si>
    <t xml:space="preserve">Employee  </t>
  </si>
  <si>
    <t>Total  expenses</t>
  </si>
  <si>
    <t>Ending</t>
  </si>
  <si>
    <t>Revenues and expenses</t>
  </si>
  <si>
    <t>project</t>
  </si>
  <si>
    <t>balance</t>
  </si>
  <si>
    <t>revenues</t>
  </si>
  <si>
    <t>English Language Learner Project—1071</t>
  </si>
  <si>
    <t>3200 Restricted revenue from State sources</t>
  </si>
  <si>
    <t>1500 Earnings on investments</t>
  </si>
  <si>
    <t>Total revenues (lines 1 and 2)</t>
  </si>
  <si>
    <t>260 Special education—ELL incremental costs</t>
  </si>
  <si>
    <t>1000 Instruction</t>
  </si>
  <si>
    <t>2000 Support services</t>
  </si>
  <si>
    <t>2100 Students</t>
  </si>
  <si>
    <t>2200 Instruction</t>
  </si>
  <si>
    <t>2300 General administration</t>
  </si>
  <si>
    <t>2400 School administration</t>
  </si>
  <si>
    <t>2500 Central services</t>
  </si>
  <si>
    <t xml:space="preserve">2600 Operation &amp; maintenance of plant </t>
  </si>
  <si>
    <t>2900 Other support services</t>
  </si>
  <si>
    <t>Program 260 subtotal (lines 4-11)</t>
  </si>
  <si>
    <t>430 Pupil transportation—ELL incremental costs</t>
  </si>
  <si>
    <t>2700 Student transportation</t>
  </si>
  <si>
    <t>Total (lines 12 and 13)</t>
  </si>
  <si>
    <t>Compensatory Instruction Project—1072</t>
  </si>
  <si>
    <t>Total revenues (lines 15 and 16)</t>
  </si>
  <si>
    <t>265 Special education—ELL compensatory instruction</t>
  </si>
  <si>
    <t>Program 265 subtotal (lines 18-25)</t>
  </si>
  <si>
    <t>435 Pupil Trans.—ELL compensatory instruction</t>
  </si>
  <si>
    <t>Total (lines 26 and 27)</t>
  </si>
  <si>
    <t>Supplementary information</t>
  </si>
  <si>
    <t>A.</t>
  </si>
  <si>
    <t>Cash balance</t>
  </si>
  <si>
    <t>F.</t>
  </si>
  <si>
    <t>Number of full-time equivalent certified teachers</t>
  </si>
  <si>
    <t>Number of full-time equivalent noncertified teachers</t>
  </si>
  <si>
    <t>B.</t>
  </si>
  <si>
    <t>Audit services</t>
  </si>
  <si>
    <t>Number of full-time equivalent contract teachers</t>
  </si>
  <si>
    <t>1.  Nonfederal</t>
  </si>
  <si>
    <t>Number of schools</t>
  </si>
  <si>
    <t>2.  Federal</t>
  </si>
  <si>
    <t>Actual days in session</t>
  </si>
  <si>
    <t>3.     Total (lines 1 and 2)</t>
  </si>
  <si>
    <t>Tuition expense (except payments to other Arizona schools or districts)</t>
  </si>
  <si>
    <t>Tuition expense (paid to other Arizona schools or districts)</t>
  </si>
  <si>
    <t>C.</t>
  </si>
  <si>
    <t>Capital acquisitions</t>
  </si>
  <si>
    <t>Textbooks (function 1000, object code 6642)</t>
  </si>
  <si>
    <t>1.  0181  Intangible assets</t>
  </si>
  <si>
    <t>2.  0191  Land and land improvements</t>
  </si>
  <si>
    <t>3.  0192  Site improvements</t>
  </si>
  <si>
    <t>Certified</t>
  </si>
  <si>
    <t>Noncertified</t>
  </si>
  <si>
    <t>Contract</t>
  </si>
  <si>
    <t>4.  0194  Buildings and building improvements</t>
  </si>
  <si>
    <t>G.</t>
  </si>
  <si>
    <t>Teacher salaries</t>
  </si>
  <si>
    <t>teachers</t>
  </si>
  <si>
    <t>substitutes</t>
  </si>
  <si>
    <t>5.  0196  Equipment</t>
  </si>
  <si>
    <t xml:space="preserve"> (function 1000)</t>
  </si>
  <si>
    <t>(object 6112)</t>
  </si>
  <si>
    <t>(object 6152)</t>
  </si>
  <si>
    <t>(object 6113)</t>
  </si>
  <si>
    <t>(object 6153)</t>
  </si>
  <si>
    <t>(object 6325)</t>
  </si>
  <si>
    <t>6.  0198  Construction in progress</t>
  </si>
  <si>
    <t xml:space="preserve">Regular education </t>
  </si>
  <si>
    <t>7.     Total capital acquisitions (lines 1-6)</t>
  </si>
  <si>
    <t>Special education</t>
  </si>
  <si>
    <t xml:space="preserve">Vocational education </t>
  </si>
  <si>
    <t>D.</t>
  </si>
  <si>
    <t>Other programs</t>
  </si>
  <si>
    <t>Cocurr. act., athletics, &amp; other (program 600)</t>
  </si>
  <si>
    <t xml:space="preserve">H. </t>
  </si>
  <si>
    <t>Average teacher salary (A.R.S. §15-189.05, as added by Laws 2018, Ch. 285, §3)</t>
  </si>
  <si>
    <t>7.     Total (lines 1-6)</t>
  </si>
  <si>
    <t>E.</t>
  </si>
  <si>
    <t>Current expenses by category</t>
  </si>
  <si>
    <t>1.  Classroom instruction excluding classroom supplies (function 1000,</t>
  </si>
  <si>
    <t>Percentage increase</t>
  </si>
  <si>
    <t xml:space="preserve">     except line 2 amount)</t>
  </si>
  <si>
    <t>2.  Classroom supplies (function 1000, object code 6600)</t>
  </si>
  <si>
    <t>3.  Administration (functions 2300, 2400, 2500, and 2900)</t>
  </si>
  <si>
    <t>Comments on average salary calculation (optional):</t>
  </si>
  <si>
    <t>4.  Support services—students (function 2100)</t>
  </si>
  <si>
    <t>5.  All other support services and operations (functions 2200, 2600,</t>
  </si>
  <si>
    <t xml:space="preserve">    2700, 3100, and 3400)</t>
  </si>
  <si>
    <t>6.     Total (lines 1-5)</t>
  </si>
  <si>
    <t>7. Current expenses from federal sources</t>
  </si>
  <si>
    <t>8. Current expenses from State and local sources</t>
  </si>
  <si>
    <t>Supplementary information (Cont’d)</t>
  </si>
  <si>
    <t>A. Enrollment of gifted pupils by grade</t>
  </si>
  <si>
    <t>Grade</t>
  </si>
  <si>
    <t>Areas of identification</t>
  </si>
  <si>
    <t>K</t>
  </si>
  <si>
    <t>Total</t>
  </si>
  <si>
    <t xml:space="preserve"> 1. Quantitative reasoning</t>
  </si>
  <si>
    <t xml:space="preserve"> 2. Verbal reasoning</t>
  </si>
  <si>
    <t xml:space="preserve"> 3. Nonverbal reasoning</t>
  </si>
  <si>
    <t xml:space="preserve"> 4. Total duplicated enrollment</t>
  </si>
  <si>
    <t xml:space="preserve">        (lines 1-3)</t>
  </si>
  <si>
    <t>B. Expenses for gifted pupils</t>
  </si>
  <si>
    <t>(elementary &amp; secondary)</t>
  </si>
  <si>
    <t>C. Special education programs by type</t>
  </si>
  <si>
    <t>Program 200 budget</t>
  </si>
  <si>
    <t>Program 200 actual</t>
  </si>
  <si>
    <t>Actual expenses for all gifted programs:</t>
  </si>
  <si>
    <t>Total all disability classifications</t>
  </si>
  <si>
    <t>K-8</t>
  </si>
  <si>
    <t>Gifted education</t>
  </si>
  <si>
    <t>9-12</t>
  </si>
  <si>
    <t>ELL incremental costs</t>
  </si>
  <si>
    <t xml:space="preserve">   Total</t>
  </si>
  <si>
    <t>ELL compensatory instruction</t>
  </si>
  <si>
    <t>Remedial education</t>
  </si>
  <si>
    <t>Vocational and technical education</t>
  </si>
  <si>
    <t>Career education</t>
  </si>
  <si>
    <t>Total (lines 1-7)</t>
  </si>
  <si>
    <t>Expenses incurred for transporting students with disabilities (as defined in A.R.S. §15-761) unique to the IEP</t>
  </si>
  <si>
    <t>Federal and State projects</t>
  </si>
  <si>
    <t>Adjusted</t>
  </si>
  <si>
    <t>Indirect</t>
  </si>
  <si>
    <t>Redemption</t>
  </si>
  <si>
    <t>Capital</t>
  </si>
  <si>
    <t>costs</t>
  </si>
  <si>
    <t>Reversions</t>
  </si>
  <si>
    <t xml:space="preserve">of </t>
  </si>
  <si>
    <t>acquisitions</t>
  </si>
  <si>
    <t>Federal projects</t>
  </si>
  <si>
    <t>principal</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</si>
  <si>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</si>
  <si>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</si>
  <si>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</si>
  <si>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</si>
  <si>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</si>
  <si>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</si>
  <si>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</si>
  <si>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1220 IDEA, Part B, including ARP—IDEA Grants</t>
  </si>
  <si>
    <t>1230 Johnson-O'Malley</t>
  </si>
  <si>
    <t>1240 Workforce Investment Act</t>
  </si>
  <si>
    <t>1250 AEA—Adult Education</t>
  </si>
  <si>
    <t>1260-1270 Vocational Education—Basic Grants</t>
  </si>
  <si>
    <t>1280 ESEA Title X—Homeless Education</t>
  </si>
  <si>
    <t>1290 Medicaid Reimbursement</t>
  </si>
  <si>
    <t>1300 Charter School Implementation Project (Stimulus)</t>
  </si>
  <si>
    <t>13__ Impact Aid</t>
  </si>
  <si>
    <t>1310-1399 Other Federal Projects</t>
  </si>
  <si>
    <t xml:space="preserve">     Total federal projects (lines 1-17)</t>
  </si>
  <si>
    <t>Total COVID-19 federal relief projects included above</t>
  </si>
  <si>
    <t>State projects</t>
  </si>
  <si>
    <t>1400 Vocational Education</t>
  </si>
  <si>
    <t>1410 Early Childhood Block Grant</t>
  </si>
  <si>
    <t>1420 Extended School Year—Pupils with Disabilities</t>
  </si>
  <si>
    <t>1425 Adult Basic Education</t>
  </si>
  <si>
    <t>1430 Chemical Abuse Prevention Programs</t>
  </si>
  <si>
    <t>1435 Academic Contests</t>
  </si>
  <si>
    <t>1450 Gifted Education</t>
  </si>
  <si>
    <t>1456 College Credit Exam Incentives</t>
  </si>
  <si>
    <t>1460 Environmental Special Plate</t>
  </si>
  <si>
    <t>1465 Charter School Stimulus Fund</t>
  </si>
  <si>
    <t>14_ Arizona Industry Credentials Incentive</t>
  </si>
  <si>
    <t>1470-1499 Other State Projects</t>
  </si>
  <si>
    <t>Additional information for National Public Education Financial Survey Reporting</t>
  </si>
  <si>
    <t>Programs 100-630</t>
  </si>
  <si>
    <t>Dues and</t>
  </si>
  <si>
    <t>6800</t>
  </si>
  <si>
    <t>6300, 6400,</t>
  </si>
  <si>
    <t>fees</t>
  </si>
  <si>
    <t>Miscellaneous</t>
  </si>
  <si>
    <t xml:space="preserve">(excluding 6810,   </t>
  </si>
  <si>
    <t>Property</t>
  </si>
  <si>
    <t>Projects (1000-1999)</t>
  </si>
  <si>
    <t>6850 and 6890)</t>
  </si>
  <si>
    <t>disbursements</t>
  </si>
  <si>
    <t xml:space="preserve">      2100 Students</t>
  </si>
  <si>
    <t xml:space="preserve">      2200 Instruction</t>
  </si>
  <si>
    <t xml:space="preserve">      2300 General administration</t>
  </si>
  <si>
    <t xml:space="preserve">      2400 School administration</t>
  </si>
  <si>
    <t xml:space="preserve">      2500, 2900 Central services, other support services </t>
  </si>
  <si>
    <t xml:space="preserve">      2600 Operation &amp; maintenance of plant</t>
  </si>
  <si>
    <t xml:space="preserve">      2700 Student transportation</t>
  </si>
  <si>
    <t>3000 Operation of noninstructional services</t>
  </si>
  <si>
    <t xml:space="preserve">      3100 Food service operations</t>
  </si>
  <si>
    <t xml:space="preserve">      3400 Bookstore operations</t>
  </si>
  <si>
    <t>Total (lines 1-10)</t>
  </si>
  <si>
    <t>From federal sources (from line 11 above)</t>
  </si>
  <si>
    <t>From State &amp; local sources (from line 11 above)</t>
  </si>
  <si>
    <t>4000 Facilities acquisition &amp; construction</t>
  </si>
  <si>
    <t>All expense</t>
  </si>
  <si>
    <t>object codes</t>
  </si>
  <si>
    <t xml:space="preserve">     1. Sinking funds</t>
  </si>
  <si>
    <t>(excluding</t>
  </si>
  <si>
    <t xml:space="preserve">Property </t>
  </si>
  <si>
    <t xml:space="preserve">     2. Bond funds</t>
  </si>
  <si>
    <t>6700 and 6900)</t>
  </si>
  <si>
    <t xml:space="preserve">     3. Other funds, except for any employee retirement funds</t>
  </si>
  <si>
    <t>1. Program 700—Adult/continuing education programs</t>
  </si>
  <si>
    <t>2. Program 800—Community college education programs</t>
  </si>
  <si>
    <t>3. Program 900—Community services program</t>
  </si>
  <si>
    <t>Long-term and short-term debt</t>
  </si>
  <si>
    <t>4. Function 3300—Community services operations (programs 700-900)</t>
  </si>
  <si>
    <t>Property disbursements by type</t>
  </si>
  <si>
    <t>All programs</t>
  </si>
  <si>
    <t xml:space="preserve">     1. Intangible assets</t>
  </si>
  <si>
    <t xml:space="preserve">     2. Land and land improvements</t>
  </si>
  <si>
    <t xml:space="preserve">     3. Buildings</t>
  </si>
  <si>
    <t xml:space="preserve">     4. Equipment</t>
  </si>
  <si>
    <t xml:space="preserve">     5. Construction</t>
  </si>
  <si>
    <t>Utilities and energy detail (only function 2600)</t>
  </si>
  <si>
    <t xml:space="preserve">     1. 6410 Utility services</t>
  </si>
  <si>
    <t>Debt service</t>
  </si>
  <si>
    <t xml:space="preserve">     2. 6621-6626 Energy</t>
  </si>
  <si>
    <t xml:space="preserve">     1. 6850 Interest</t>
  </si>
  <si>
    <t xml:space="preserve">     2. Redemption of principal</t>
  </si>
  <si>
    <t xml:space="preserve">     3. 6800 Other (function 5000, excluding 6850)</t>
  </si>
  <si>
    <t>Technology (all functions)</t>
  </si>
  <si>
    <t xml:space="preserve">     1. 6330 Technical services</t>
  </si>
  <si>
    <t xml:space="preserve">Revenue from selected federal sources </t>
  </si>
  <si>
    <t xml:space="preserve">     2. 6432 Technology-related repairs and maintenance </t>
  </si>
  <si>
    <t xml:space="preserve">     1. ESEA Title IV—Student Support and Academic Enrichment Grants</t>
  </si>
  <si>
    <t xml:space="preserve">     3. 6441 Rental of computers and related equipment</t>
  </si>
  <si>
    <t xml:space="preserve">     2. ESEA Title IV—21st Century Community Learning Centers</t>
  </si>
  <si>
    <t xml:space="preserve">     4. 6531 Telecommunications</t>
  </si>
  <si>
    <t xml:space="preserve">     3. ESEA Title V—Rural Education-Rural and Low-Income School Program</t>
  </si>
  <si>
    <t xml:space="preserve">     5. 6650 Technology-related supplies </t>
  </si>
  <si>
    <t xml:space="preserve">     4. ESEA Title V—Rural Education-Small, Rural School Achievement Program</t>
  </si>
  <si>
    <t xml:space="preserve">     6. Technology-related hardware and software</t>
  </si>
  <si>
    <t>Support services-instruction detail</t>
  </si>
  <si>
    <t>Additional information for National Public Education Financial Survey (NPEFS) reporting of COVID-19 federal relief projects</t>
  </si>
  <si>
    <t>Programs 700-900</t>
  </si>
  <si>
    <t xml:space="preserve">Judgements </t>
  </si>
  <si>
    <t>All</t>
  </si>
  <si>
    <t>Current expenses from COVID-19 federal relief projects</t>
  </si>
  <si>
    <t>against the school</t>
  </si>
  <si>
    <t xml:space="preserve">(excluding 6810, </t>
  </si>
  <si>
    <t>Object Codes</t>
  </si>
  <si>
    <t>6820, 6850, and 6890)</t>
  </si>
  <si>
    <t>(excluding 6900)</t>
  </si>
  <si>
    <t>2100, 2200  Student Support Services</t>
  </si>
  <si>
    <t>2300, 2500, 2900 Other Support Services</t>
  </si>
  <si>
    <t>2600 Operation &amp; maintenance of plant</t>
  </si>
  <si>
    <t>3100 Food service operations</t>
  </si>
  <si>
    <t>3400 Bookstore operations</t>
  </si>
  <si>
    <t>Total (lines 1-9)</t>
  </si>
  <si>
    <t>Technology related expenses from COVID-19 federal relief projects</t>
  </si>
  <si>
    <t>Total spending detail</t>
  </si>
  <si>
    <t>Classroom spending detail</t>
  </si>
  <si>
    <t>Property disbursement detail for COVID-19 federal relief projects</t>
  </si>
  <si>
    <t>Indirect costs from COVID-19 federal relief projects</t>
  </si>
  <si>
    <t>1. 6330 Technical services</t>
  </si>
  <si>
    <t>1. Intangible assets</t>
  </si>
  <si>
    <t>1. 6900 Indirect costs</t>
  </si>
  <si>
    <t xml:space="preserve">2. 6432 Technology-related repairs and maintenance </t>
  </si>
  <si>
    <t>2. Land and land improvements</t>
  </si>
  <si>
    <t>3. 6441 Rental of computers and related equipment</t>
  </si>
  <si>
    <t>3. Buildings</t>
  </si>
  <si>
    <t>Property disbursements from COVID-19 federal relief projects</t>
  </si>
  <si>
    <t>4. 6531 Telecommunications</t>
  </si>
  <si>
    <t>4. Equipment</t>
  </si>
  <si>
    <t>1. Program 700 Adult/continuing education programs</t>
  </si>
  <si>
    <t>5. 6650 Technology-related supplies &amp; purchased services (less than $5,000)</t>
  </si>
  <si>
    <t>5. Construction</t>
  </si>
  <si>
    <t>2. Program 800 Community college education programs</t>
  </si>
  <si>
    <t>6. Technology-related hardware &amp; software ($5,000 or more)</t>
  </si>
  <si>
    <t>3. Program 900 Community services program</t>
  </si>
  <si>
    <t xml:space="preserve">7. 6641-43 Software reported in library books, textbooks, or instructional aids </t>
  </si>
  <si>
    <t>Debt service detail for COVID-19 federal relief projects</t>
  </si>
  <si>
    <t>1. 6850 Interest</t>
  </si>
  <si>
    <t>2. Redemption of principal</t>
  </si>
  <si>
    <t/>
  </si>
  <si>
    <t>COVID-19 federal relief projects</t>
  </si>
  <si>
    <t>Total Award
(all fiscal years)</t>
  </si>
  <si>
    <t>Amount
remaining to
spend</t>
  </si>
  <si>
    <t>Paycheck Protection Program</t>
  </si>
  <si>
    <t>1. Total loan amount received</t>
  </si>
  <si>
    <t>1. Elementary and Secondary School Emergency Relief Funds (ESSER I)</t>
  </si>
  <si>
    <t>2. Total PPP loans spent in all fiscal years</t>
  </si>
  <si>
    <t>2. Elementary and Secondary School Emergency Relief Funds (ESSER II)</t>
  </si>
  <si>
    <t xml:space="preserve">3. Total loan amount approved for forgiveness </t>
  </si>
  <si>
    <t>3. Elementary and Secondary School Emergency Relief Funds (ESSER III)</t>
  </si>
  <si>
    <t>4. Total amounts returned to Small Business Administration</t>
  </si>
  <si>
    <t>4. Governor’s Emergency Education Relief Funds (GEER) - includes Acceleration Academies Program</t>
  </si>
  <si>
    <t>5. Total loan amount remaining (line 1 minus lines 2 and 4, final amount should equal 0)</t>
  </si>
  <si>
    <t>5. Coronavirus Relief Fund (CRF)—Enrollment Stability Grant (ESG) Program</t>
  </si>
  <si>
    <t>6. Other COVID-19 federal relief projects</t>
  </si>
  <si>
    <t>7. Total</t>
  </si>
  <si>
    <t>Avg. Daily Membership</t>
  </si>
  <si>
    <t>Attending</t>
  </si>
  <si>
    <t xml:space="preserve">                                            Annual Financial Report Summary</t>
  </si>
  <si>
    <t xml:space="preserve">Adjusted </t>
  </si>
  <si>
    <t xml:space="preserve">Revenues </t>
  </si>
  <si>
    <t>Budgeted Expenses</t>
  </si>
  <si>
    <t>Actual Expenses</t>
  </si>
  <si>
    <t xml:space="preserve">Redemption of </t>
  </si>
  <si>
    <t>Project/Program</t>
  </si>
  <si>
    <t>Project Balance</t>
  </si>
  <si>
    <t>Indirect costs</t>
  </si>
  <si>
    <t xml:space="preserve">principal </t>
  </si>
  <si>
    <t>Additional reserve information</t>
  </si>
  <si>
    <t>Regular Education</t>
  </si>
  <si>
    <t>Special Education</t>
  </si>
  <si>
    <t>Pupil Transportation</t>
  </si>
  <si>
    <t>Dropout Prevention Programs</t>
  </si>
  <si>
    <t>Joint Career &amp; Tech. Ed. &amp; Voc. Ed. Center</t>
  </si>
  <si>
    <t>K-3 Reading Program</t>
  </si>
  <si>
    <t>Schoolwide and other special projects</t>
  </si>
  <si>
    <t>Classroom Site</t>
  </si>
  <si>
    <t>Instructional Improvement</t>
  </si>
  <si>
    <t>English Language Learner</t>
  </si>
  <si>
    <t>Compensatory Instruction</t>
  </si>
  <si>
    <t>Federal Projects</t>
  </si>
  <si>
    <t>State Projects</t>
  </si>
  <si>
    <t>All Projects</t>
  </si>
  <si>
    <t>x</t>
  </si>
  <si>
    <t>3.a</t>
  </si>
  <si>
    <t>Deficit balance</t>
  </si>
  <si>
    <t>3.b</t>
  </si>
  <si>
    <t>3.c</t>
  </si>
  <si>
    <t>3.d</t>
  </si>
  <si>
    <t>3.e</t>
  </si>
  <si>
    <t>3.f</t>
  </si>
  <si>
    <t>Maintained for future financial stability</t>
  </si>
  <si>
    <t>3.g</t>
  </si>
  <si>
    <t>Maintained for other purposes (Specify)</t>
  </si>
  <si>
    <t>3.h</t>
  </si>
  <si>
    <t>3.i</t>
  </si>
  <si>
    <t>Yes</t>
  </si>
  <si>
    <t>No</t>
  </si>
  <si>
    <t xml:space="preserve">3. </t>
  </si>
  <si>
    <t xml:space="preserve">Project(s) </t>
  </si>
  <si>
    <t>Method used to establish a targeted project balance reserve amount</t>
  </si>
  <si>
    <t>Total:</t>
  </si>
  <si>
    <t>See page 3. Classroom Site Project revenue information is not complete. Ensure that all revenues have been recorded for Project 1010—Classroom Site, on page 3, lines 11 and 12. Classroom Site Project YTD payment reports can be obtained from ADE at https://apps.azed.gov/SchoolFinanceReports/Reports.</t>
  </si>
  <si>
    <t>Page 4, Instructional Improvement Project revenue is not complete. Ensure revenue has been reported for the Instructional Improvement Project on page 4, line 7. Instructional Improvement Project YTD payment reports can be obtained from ADE at https://apps.azed.gov/SchoolFinanceReports/Reports.</t>
  </si>
  <si>
    <t>Page 6, section E, line 3 is not accurate based on amounts reported on page 2 for functions 2300, 2400, 2500 and 2900. The expense reported on page 6 should be greater than those amounts reported on page 2. Ensure the amount reported on page 6, section E, line 3 for current administration expense is accurate.</t>
  </si>
  <si>
    <t>Page 6, section F, lines 1-3 are not complete as the Charter did not report any FTE for teachers.</t>
  </si>
  <si>
    <t>Page 6, section G, teachers salaries table is not complete. Ensure all teacher salary information is reported on page 6, section G. The sum of all salary amounts reported must be greater than 0.</t>
  </si>
  <si>
    <t>Page 6, sections F and G do not appear appropriate. Ensure the number of FTE teachers reported in section F and the teacher salaries reported in section G are correct.</t>
  </si>
  <si>
    <t xml:space="preserve">Page 7, section C, special education programs by type table does not include all program 200 SPED expenses. Ensure all special education expenses are reported by type on page 7, section C, lines 1-7. The total on page 7 should include special education expenses reported on pages 2 and 6. </t>
  </si>
  <si>
    <t>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t>
  </si>
  <si>
    <t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t>
  </si>
  <si>
    <t>Page 8, line 19 is not complete. Ensure all COVID-19 amounts are reported on line 19. If the Charter does not have any activity to report, enter a 0 on the line item(s) as applicable. Line 19 cannot be left blank.</t>
  </si>
  <si>
    <t>Charters must complete all required detail for each school site, including charters with only one school.</t>
  </si>
  <si>
    <t>School #</t>
  </si>
  <si>
    <t>School name</t>
  </si>
  <si>
    <t>School CTDS</t>
  </si>
  <si>
    <t>Unweighted attending student count</t>
  </si>
  <si>
    <t>Unit code(s)</t>
  </si>
  <si>
    <t>Primary unit code</t>
  </si>
  <si>
    <t>Comments</t>
  </si>
  <si>
    <t>Charterwide</t>
  </si>
  <si>
    <t>School Listing–Charterwide</t>
  </si>
  <si>
    <t>Private schools</t>
  </si>
  <si>
    <t>School Listing–Private Schools</t>
  </si>
  <si>
    <t>CTED (Member Districts)</t>
  </si>
  <si>
    <t>School Listing–CTED (Member Districts)</t>
  </si>
  <si>
    <t>School 1</t>
  </si>
  <si>
    <t>School Listing–School 1</t>
  </si>
  <si>
    <t>School 2</t>
  </si>
  <si>
    <t>School Listing–School 2</t>
  </si>
  <si>
    <t>School 3</t>
  </si>
  <si>
    <t>School Listing–School 3</t>
  </si>
  <si>
    <t>School 4</t>
  </si>
  <si>
    <t>School Listing–School 4</t>
  </si>
  <si>
    <t>School 5</t>
  </si>
  <si>
    <t>School Listing–School 5</t>
  </si>
  <si>
    <t>School 6</t>
  </si>
  <si>
    <t>School Listing–School 6</t>
  </si>
  <si>
    <t>School 7</t>
  </si>
  <si>
    <t>School Listing–School 7</t>
  </si>
  <si>
    <t>School 8</t>
  </si>
  <si>
    <t>School Listing–School 8</t>
  </si>
  <si>
    <t>School 9</t>
  </si>
  <si>
    <t>School Listing–School 9</t>
  </si>
  <si>
    <t>School 10</t>
  </si>
  <si>
    <t>School Listing–School 10</t>
  </si>
  <si>
    <t>School 11</t>
  </si>
  <si>
    <t>School Listing–School 11</t>
  </si>
  <si>
    <t>School 12</t>
  </si>
  <si>
    <t>School Listing–School 12</t>
  </si>
  <si>
    <t>School 13</t>
  </si>
  <si>
    <t>School Listing–School 13</t>
  </si>
  <si>
    <t>School 14</t>
  </si>
  <si>
    <t>School Listing–School 14</t>
  </si>
  <si>
    <t>School 15</t>
  </si>
  <si>
    <t>School Listing–School 15</t>
  </si>
  <si>
    <t>School 16</t>
  </si>
  <si>
    <t>School Listing–School 16</t>
  </si>
  <si>
    <t>School 17</t>
  </si>
  <si>
    <t>School Listing–School 17</t>
  </si>
  <si>
    <t>School 18</t>
  </si>
  <si>
    <t>School Listing–School 18</t>
  </si>
  <si>
    <t>School 19</t>
  </si>
  <si>
    <t>School Listing–School 19</t>
  </si>
  <si>
    <t>School 20</t>
  </si>
  <si>
    <t>School Listing–School 20</t>
  </si>
  <si>
    <t>School 21</t>
  </si>
  <si>
    <t>School Listing–School 21</t>
  </si>
  <si>
    <t>School 22</t>
  </si>
  <si>
    <t>School Listing–School 22</t>
  </si>
  <si>
    <t>School 23</t>
  </si>
  <si>
    <t>School Listing–School 23</t>
  </si>
  <si>
    <t>School 24</t>
  </si>
  <si>
    <t>School Listing–School 24</t>
  </si>
  <si>
    <t>School 25</t>
  </si>
  <si>
    <t>School Listing–School 25</t>
  </si>
  <si>
    <t>School 26</t>
  </si>
  <si>
    <t>School Listing–School 26</t>
  </si>
  <si>
    <t>School 27</t>
  </si>
  <si>
    <t>School Listing–School 27</t>
  </si>
  <si>
    <t>School 28</t>
  </si>
  <si>
    <t>School Listing–School 28</t>
  </si>
  <si>
    <t>School 29</t>
  </si>
  <si>
    <t>School Listing–School 29</t>
  </si>
  <si>
    <t>School 30</t>
  </si>
  <si>
    <t>School Listing–School 30</t>
  </si>
  <si>
    <t>School 31</t>
  </si>
  <si>
    <t>School Listing–School 31</t>
  </si>
  <si>
    <t>School 32</t>
  </si>
  <si>
    <t>School Listing–School 32</t>
  </si>
  <si>
    <t>School 33</t>
  </si>
  <si>
    <t>School Listing–School 33</t>
  </si>
  <si>
    <t>School 34</t>
  </si>
  <si>
    <t>School Listing–School 34</t>
  </si>
  <si>
    <t>School 35</t>
  </si>
  <si>
    <t>School Listing–School 35</t>
  </si>
  <si>
    <t>School 36</t>
  </si>
  <si>
    <t>School Listing–School 36</t>
  </si>
  <si>
    <t>School 37</t>
  </si>
  <si>
    <t>School Listing–School 37</t>
  </si>
  <si>
    <t>School 38</t>
  </si>
  <si>
    <t>School Listing–School 38</t>
  </si>
  <si>
    <t>School 39</t>
  </si>
  <si>
    <t>School Listing–School 39</t>
  </si>
  <si>
    <t>School 40</t>
  </si>
  <si>
    <t>School Listing–School 40</t>
  </si>
  <si>
    <t>School 41</t>
  </si>
  <si>
    <t>School Listing–School 41</t>
  </si>
  <si>
    <t>School 42</t>
  </si>
  <si>
    <t>School Listing–School 42</t>
  </si>
  <si>
    <t>School 43</t>
  </si>
  <si>
    <t>School Listing–School 43</t>
  </si>
  <si>
    <t>School 44</t>
  </si>
  <si>
    <t>School Listing–School 44</t>
  </si>
  <si>
    <t>School 45</t>
  </si>
  <si>
    <t>School Listing–School 45</t>
  </si>
  <si>
    <t>School 46</t>
  </si>
  <si>
    <t>School Listing–School 46</t>
  </si>
  <si>
    <t>School 47</t>
  </si>
  <si>
    <t>School Listing–School 47</t>
  </si>
  <si>
    <t>School 48</t>
  </si>
  <si>
    <t>School Listing–School 48</t>
  </si>
  <si>
    <t>School 49</t>
  </si>
  <si>
    <t>School Listing–School 49</t>
  </si>
  <si>
    <t>School 50</t>
  </si>
  <si>
    <t>School Listing–School 50</t>
  </si>
  <si>
    <t>School 51</t>
  </si>
  <si>
    <t>School Listing–School 51</t>
  </si>
  <si>
    <t>School 52</t>
  </si>
  <si>
    <t>School Listing–School 52</t>
  </si>
  <si>
    <t>School 53</t>
  </si>
  <si>
    <t>School Listing–School 53</t>
  </si>
  <si>
    <t>School 54</t>
  </si>
  <si>
    <t>School Listing–School 54</t>
  </si>
  <si>
    <t>School 55</t>
  </si>
  <si>
    <t>School Listing–School 55</t>
  </si>
  <si>
    <t>School 56</t>
  </si>
  <si>
    <t>School Listing–School 56</t>
  </si>
  <si>
    <t>School 57</t>
  </si>
  <si>
    <t>School Listing–School 57</t>
  </si>
  <si>
    <t>School 58</t>
  </si>
  <si>
    <t>School Listing–School 58</t>
  </si>
  <si>
    <t>School 59</t>
  </si>
  <si>
    <t>School Listing–School 59</t>
  </si>
  <si>
    <t>School 60</t>
  </si>
  <si>
    <t>School Listing–School 60</t>
  </si>
  <si>
    <t>School 61</t>
  </si>
  <si>
    <t>School Listing–School 61</t>
  </si>
  <si>
    <t>School 62</t>
  </si>
  <si>
    <t>School Listing–School 62</t>
  </si>
  <si>
    <t>School 63</t>
  </si>
  <si>
    <t>School Listing–School 63</t>
  </si>
  <si>
    <t>School 64</t>
  </si>
  <si>
    <t>School Listing–School 64</t>
  </si>
  <si>
    <t>School 65</t>
  </si>
  <si>
    <t>School Listing–School 65</t>
  </si>
  <si>
    <t>School 66</t>
  </si>
  <si>
    <t>School Listing–School 66</t>
  </si>
  <si>
    <t>School 67</t>
  </si>
  <si>
    <t>School Listing–School 67</t>
  </si>
  <si>
    <t>School 68</t>
  </si>
  <si>
    <t>School Listing–School 68</t>
  </si>
  <si>
    <t>School 69</t>
  </si>
  <si>
    <t>School Listing–School 69</t>
  </si>
  <si>
    <t>School 70</t>
  </si>
  <si>
    <t>School Listing–School 70</t>
  </si>
  <si>
    <t>School 71</t>
  </si>
  <si>
    <t>School Listing–School 71</t>
  </si>
  <si>
    <t>School 72</t>
  </si>
  <si>
    <t>School Listing–School 72</t>
  </si>
  <si>
    <t>School 73</t>
  </si>
  <si>
    <t>School Listing–School 73</t>
  </si>
  <si>
    <t>School 74</t>
  </si>
  <si>
    <t>School Listing–School 74</t>
  </si>
  <si>
    <t>School 75</t>
  </si>
  <si>
    <t>School Listing–School 75</t>
  </si>
  <si>
    <t>School 76</t>
  </si>
  <si>
    <t>School Listing–School 76</t>
  </si>
  <si>
    <t>School 77</t>
  </si>
  <si>
    <t>School Listing–School 77</t>
  </si>
  <si>
    <t>School 78</t>
  </si>
  <si>
    <t>School Listing–School 78</t>
  </si>
  <si>
    <t>School 79</t>
  </si>
  <si>
    <t>School Listing–School 79</t>
  </si>
  <si>
    <t>School 80</t>
  </si>
  <si>
    <t>School Listing–School 80</t>
  </si>
  <si>
    <t>School 81</t>
  </si>
  <si>
    <t>School Listing–School 81</t>
  </si>
  <si>
    <t>School 82</t>
  </si>
  <si>
    <t>School Listing–School 82</t>
  </si>
  <si>
    <t>School 83</t>
  </si>
  <si>
    <t>School Listing–School 83</t>
  </si>
  <si>
    <t>School 84</t>
  </si>
  <si>
    <t>School Listing–School 84</t>
  </si>
  <si>
    <t>School 85</t>
  </si>
  <si>
    <t>School Listing–School 85</t>
  </si>
  <si>
    <t>School 86</t>
  </si>
  <si>
    <t>School Listing–School 86</t>
  </si>
  <si>
    <t>School 87</t>
  </si>
  <si>
    <t>School Listing–School 87</t>
  </si>
  <si>
    <t>School 88</t>
  </si>
  <si>
    <t>School Listing–School 88</t>
  </si>
  <si>
    <t>School 89</t>
  </si>
  <si>
    <t>School Listing–School 89</t>
  </si>
  <si>
    <t>School 90</t>
  </si>
  <si>
    <t>School Listing–School 90</t>
  </si>
  <si>
    <t>Page</t>
  </si>
  <si>
    <t>Reference</t>
  </si>
  <si>
    <t>Instructions</t>
  </si>
  <si>
    <t>Significant Change</t>
  </si>
  <si>
    <t>General</t>
  </si>
  <si>
    <t xml:space="preserve">We provide these instructions to help charter schools (charters) prepare the Charter School Annual Financial Report (AFR). Within the forms, blue font indicates that an instruction is linked to that specific line. The instructions button links to any general instructions or to the first instruction for a page. To return to the related forms after reviewing the instructions, simply click on the form's tab at the bottom of the Excel screen or press the Alt and back arrow keys. </t>
  </si>
  <si>
    <t xml:space="preserve">The AFR presents condensed financial activity (i.e., beginning and ending balances, revenues and expenses, and budget to actual comparisons of expenses for the fiscal year) of the Charter for comparison purposes. This information assists sponsors, charter governing boards, administrators, ADE, legislators, other governmental agencies, and taxpayers in determining whether charters are meeting their stewardship responsibilities.
</t>
  </si>
  <si>
    <t>Alerts will appear on the cover page and throughout the form when areas of the AFR are not completed or do not appear to be accurately reported. The alerts will disappear as they are resolved. Detailed descriptions of the alerts, as well as guidance on how to resolve the alerts, can be found on the Alerts tab. Charters should complete all areas of the AFR that apply to their operations, whether or not the item is listed in the alert. These alerts do not replace the need for a separate employee to review the AFR for accuracy and completeness. Charters should ensure that no alerts remain on the cover page before uploading the files.</t>
  </si>
  <si>
    <t>Cover</t>
  </si>
  <si>
    <t>Name, county, CTDS number</t>
  </si>
  <si>
    <t>The charter name, county, and CTDS number should be entered on the cover page of the AFR. The CTDS number should not contain any slashes, dashes, etc., and must be exactly 9 digits. Zeros should be entered to fill the school portion of the number on the cover page. This information will be automatically transferred to other sheets in the file.</t>
  </si>
  <si>
    <t>School listing tab</t>
  </si>
  <si>
    <t>Accounting data tab</t>
  </si>
  <si>
    <r>
      <rPr>
        <b/>
        <sz val="10"/>
        <color indexed="8"/>
        <rFont val="Times New Roman"/>
        <family val="1"/>
      </rPr>
      <t xml:space="preserve">Charters must complete the Accounting data tab within this workbook. Charters will use the data from the Accounting data tab to complete the AFR and school-level reporting.
</t>
    </r>
    <r>
      <rPr>
        <sz val="10"/>
        <rFont val="Times New Roman"/>
        <family val="2"/>
      </rPr>
      <t xml:space="preserve">
Charters must copy their accounting data from their accounting records and paste the data into columns A through G in the Accounting data tab within this file. When pasting data, select "Paste Options:" and choose "Values (V)". Paste data into cell A2. Do not copy any column headers into the Accounting data tab or paste over any column headers within the tab.  
Charters should filter on the data elements in columns A through E and select the appropriate project, program, function, object, and unit for each line item from the dropdown list provided in columns H through L to report within the AFR. If a cell has not been assigned a value, the cell will be highlighted in red. When complete, the form should not have any red highlighted cells in rows with charter submitted data. Any blank rows will remain red highlighted.
</t>
    </r>
    <r>
      <rPr>
        <b/>
        <sz val="10"/>
        <rFont val="Times New Roman"/>
        <family val="1"/>
      </rPr>
      <t>Charters should select "1310-1399-COVID-19 Federal Relief Projects", "1227-ARP-IDEA Preschool", and "1228-ARP-IDEA Basic" from the dropdown list provided in column H for all expenses and revenues from COVID-19 federal relief projects.</t>
    </r>
    <r>
      <rPr>
        <sz val="10"/>
        <rFont val="Times New Roman"/>
        <family val="2"/>
      </rPr>
      <t xml:space="preserve">  </t>
    </r>
  </si>
  <si>
    <t xml:space="preserve">Report all revenues the Charter received on this page.  </t>
  </si>
  <si>
    <t xml:space="preserve">1600 Food service, line 6 </t>
  </si>
  <si>
    <t xml:space="preserve">Revenues received in the Classroom Site Project (CSP) (project code 1010), Instructional Improvement Project (project code 1020), English Language Learner Project (project code 1071), and Compensatory Instruction Project (project code 1072) should be reported as restricted. In addition, any restricted revenues received for State projects, as reported on page 9, should also be included, as applicable. Classroom Site Project and Instructional Improvement Project YTD Payment Reports can be obtained from ADE at https://apps.azed.gov/SchoolFinanceReports/Reports
If you are not following the USFRCS Chart of Accounts, please report these revenues as 3200 restricted for federal survey purposes. 
</t>
  </si>
  <si>
    <t xml:space="preserve">Report unrestricted/restricted revenues received from the federal government through the State on this line, including revenues from COVID-19 federal relief projects, such as the Elementary and Secondary School Emergency Relief (ESSER). </t>
  </si>
  <si>
    <t>Expenses, lines 1-32</t>
  </si>
  <si>
    <r>
      <t>Report expenses for 1000-Schoolwide Project and 1500-1999-Other Special Projects on lines 1 through 32. Do not include the Classroom Site Project (project code 1010), Instructional Improvement Project (project code 1020), English Language Learner Project (project code 1071), Compensatory Instruction Project (project code 1072), or Federal and State Projects (project codes 1100 through 1499) expenses as these expenses are reported on other pages and formulas will populate lines 34 through 38.</t>
    </r>
    <r>
      <rPr>
        <strike/>
        <sz val="10"/>
        <rFont val="Times New Roman"/>
        <family val="1"/>
      </rPr>
      <t xml:space="preserve"> </t>
    </r>
    <r>
      <rPr>
        <sz val="10"/>
        <rFont val="Times New Roman"/>
        <family val="2"/>
      </rPr>
      <t xml:space="preserve">
Report expenses for programs 200-special education and 270-vocational and technical education on lines 17-28. Report expenses for program 400-pupil transportation on line 29. 
Do not include payments for capital acquisitions, depreciation, impairment expense or principal payments.  </t>
    </r>
  </si>
  <si>
    <t>Federal and State projects, line 38</t>
  </si>
  <si>
    <t xml:space="preserve">Expenses made from the CSP (1010) should be made in accordance with A.R.S. §15-977. Schools may establish any CSP subprojects (1011-1019) to track monies for specific allowable purposes or separately account for carryover balances and other one-time CSP monies. </t>
  </si>
  <si>
    <r>
      <t>Line</t>
    </r>
    <r>
      <rPr>
        <strike/>
        <sz val="10"/>
        <rFont val="Times New Roman"/>
        <family val="1"/>
      </rPr>
      <t>s</t>
    </r>
    <r>
      <rPr>
        <sz val="10"/>
        <rFont val="Times New Roman"/>
        <family val="2"/>
      </rPr>
      <t xml:space="preserve"> 4</t>
    </r>
  </si>
  <si>
    <t xml:space="preserve">Report expenses for teacher liability insurance premiums made from Project 1010. </t>
  </si>
  <si>
    <t xml:space="preserve"> Line 5</t>
  </si>
  <si>
    <r>
      <t xml:space="preserve">Report </t>
    </r>
    <r>
      <rPr>
        <b/>
        <sz val="10"/>
        <rFont val="Times New Roman"/>
        <family val="1"/>
      </rPr>
      <t>allowable</t>
    </r>
    <r>
      <rPr>
        <sz val="10"/>
        <rFont val="Times New Roman"/>
        <family val="2"/>
      </rPr>
      <t xml:space="preserve"> CSP amounts for function 3300—community service operations on this line. For example, if a charter included a community school program, such as preschool for children without disabilities, as a CSP-eligible program related to its educational mission, report the teacher salaries and related expenses </t>
    </r>
    <r>
      <rPr>
        <b/>
        <sz val="10"/>
        <rFont val="Times New Roman"/>
        <family val="1"/>
      </rPr>
      <t>allowable under CSP</t>
    </r>
    <r>
      <rPr>
        <sz val="10"/>
        <rFont val="Times New Roman"/>
        <family val="2"/>
      </rPr>
      <t xml:space="preserve"> here. </t>
    </r>
  </si>
  <si>
    <t>Classroom Site Project Property Payments</t>
  </si>
  <si>
    <r>
      <t>Arizona Industry Credentials Incentive project</t>
    </r>
    <r>
      <rPr>
        <sz val="10"/>
        <rFont val="Calibri"/>
        <family val="2"/>
      </rPr>
      <t>—</t>
    </r>
    <r>
      <rPr>
        <sz val="10"/>
        <rFont val="Times New Roman"/>
        <family val="2"/>
      </rPr>
      <t>detailed expenses</t>
    </r>
  </si>
  <si>
    <t>Enter the detailed actual expense amounts for the following allowable costs in accordance with  A.R.S. §15-249.15:
• Instructional costs and professional development for a career technical education program teacher to become a certifying professional for an approved certificate, credential, or license.
• To offset the students' cost of certification, credentialing, or licensure.
• Developmental costs related to creating, expanding or improving an approved site of a certificate, credential, or license career     technical program or course.
• Instructional hardware, software, or supplies required for the certification, credentialing, or licensure.
• Career exploration in any school grade and awareness activities for parents, students, and the community for the approved sectors.</t>
  </si>
  <si>
    <t>Section B— 
Audit services</t>
  </si>
  <si>
    <t>Section C— 
Capital acquisitions</t>
  </si>
  <si>
    <t>Section C— 
Capital acquisitions,  
line 6</t>
  </si>
  <si>
    <t>Section D—Investment in capital assets</t>
  </si>
  <si>
    <t>Section D— 
Investment in capital assets,  
line 6</t>
  </si>
  <si>
    <t>Section E—Current expenses by category</t>
  </si>
  <si>
    <t>A.R.S. §15-255 requires the Superintendent of Public Instruction's Annual Report to include total current expenses per pupil and separate per pupil amounts by (1) classroom instruction excluding classroom supplies, (2) classroom supplies, (3) administration, (4) support services—students, and (5) all other support services and operations. ADE will calculate the "per pupil" amounts based on the total current expenses reported on lines 1 through 5 of this section. 
Current expenses include expenses from all projects for elementary and secondary education (e.g., all schoolwide projects including classroom site, instructional improvement, english language learner, compensatory instruction and most federal and state projects and other special projects).  Current expenses do not include tuition paid to other Arizona school charters or charters, outlays for facilities acquisition and construction, furniture, equipment, technology, vehicles, debt retirement, and expenses for nonpublic school programs appropriately recorded in program codes 700, 800, and 900.  (e.g., adult/continuing education, community college education, community services, etc.).</t>
  </si>
  <si>
    <t>Section E— 
Current expenses by category,  
lines 7 and 8</t>
  </si>
  <si>
    <t>The Every Student Succeeds Act (ESSA) requires current expenses to be reported by source. Report the portion of current expenses from line 6 that were paid from federal sources. If no expenses were paid from federal sources, enter a 0 value on line 7. Line 8 contains a formula to calculate the current expenses from State and local sources.</t>
  </si>
  <si>
    <t xml:space="preserve">Report the number of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 </t>
  </si>
  <si>
    <t>Section G—Teacher salaries</t>
  </si>
  <si>
    <t>Report base salaries, overtime, and additional compensation paid to certified and noncertified teachers, certified and noncertified substitute teachers, and contract teachers.  Do not include salaries paid to instructional aides or assistants.  Report the salaries based on the appropriate program.  If a teacher teaches in more than 1 program, calculate the salary based on the amount of time instructing in each program. If FTE amounts were reported for certified, noncertified, or contract teachers in section F, corresponding salary amounts should be reported in section G.</t>
  </si>
  <si>
    <t>Section G— 
Teachers salaries,  
line 1</t>
  </si>
  <si>
    <t xml:space="preserve">Regular education includes expenses coded to program 100,  career education programs coded to program 200, and K-3 Reading expenses coded to program 550.  </t>
  </si>
  <si>
    <t>Section G— 
Teachers salaries,  
line 2</t>
  </si>
  <si>
    <t xml:space="preserve">Special education includes expenses coded to program 200 (excluding ELL incremental costs, compensatory instruction, vocational and technological education, and career education programs).  </t>
  </si>
  <si>
    <t>Section G— 
Teachers salaries,  
line 3</t>
  </si>
  <si>
    <t>Vocational education includes expenses coded to programs 270 and 540.</t>
  </si>
  <si>
    <t>Section G— 
Teachers salaries,  
line 4</t>
  </si>
  <si>
    <t>Other programs includes expenses coded to programs 260, 265, and 530.</t>
  </si>
  <si>
    <t>Section G— 
Teachers salaries,  
line 5</t>
  </si>
  <si>
    <t>Cocurricular activities, athletics, and other includes expenses coded to program 600.</t>
  </si>
  <si>
    <t>Section H— 
Average teacher salary</t>
  </si>
  <si>
    <t xml:space="preserve">Sections B and C— 
Total gifted expenses  
</t>
  </si>
  <si>
    <t>Total actual gifted expenses in sections B and C must agree.</t>
  </si>
  <si>
    <t>Section C—Special ed. programs by type</t>
  </si>
  <si>
    <r>
      <t xml:space="preserve">Enter only the amounts of expenses for special education programs by type for 1000-Schoolwide Project and 1500-1999-Other Special Projects. Federal and state projects' special education expenses are reported on page 8 and should not be reported here.  Retain supporting documentation for the allocation of expenses to individual special education programs.
</t>
    </r>
    <r>
      <rPr>
        <b/>
        <sz val="10"/>
        <rFont val="Times New Roman"/>
        <family val="1"/>
      </rPr>
      <t>Charters should report actual total expenses in Program 200ꟷSpecial Education for disability classifications defined in A.R.S. §15-761 on line 1, Total All Disability Classifications.</t>
    </r>
    <r>
      <rPr>
        <sz val="10"/>
        <rFont val="Times New Roman"/>
        <family val="2"/>
      </rPr>
      <t xml:space="preserve"> The amounts entered on line 1 and line 8 are used by ADE in the calculation of maintenance of effort.  The total expenses for all of these programs on line 8 must agree to the total 1000-Schoolwide Project and 1500-1999 Other Special projects, programs 200 expenses reported on page 2, line 28.</t>
    </r>
  </si>
  <si>
    <t>Section C—Total all disability classifications</t>
  </si>
  <si>
    <t>Enter total expenses for the disability classifications defined in A.R.S. §15-761.</t>
  </si>
  <si>
    <t>Section C—Transportation</t>
  </si>
  <si>
    <t>Charters should report actual total transportation expenses coded within program 400 for transporting students whose IEPs require transportation as necessary for the provision of free and appropriate public education (FAPE).</t>
  </si>
  <si>
    <t>Impact aid and other federal projects, lines 16, 17, and 19</t>
  </si>
  <si>
    <r>
      <t xml:space="preserve">Enter Impact Aid amounts on line 16. Enter all Other Federal Projects (less Impact Aid), including amounts for COVID-19 federal relief projects, such as the Elementary and Secondary School Emergency Relief (ESSER) programs, on line 17. Separately report revenues and expenses for COVID-19 federal relief projects on line 19.
</t>
    </r>
    <r>
      <rPr>
        <b/>
        <sz val="10"/>
        <rFont val="Times New Roman"/>
        <family val="1"/>
      </rPr>
      <t>All COVID-19 related amounts must be identified as 1227-ARP-IDEA Preschool, 1228-ARP-IDEA Basic or 1310-1399-COVID-19 Federal Relief Projects on the Accounting data tab.</t>
    </r>
    <r>
      <rPr>
        <sz val="10"/>
        <rFont val="Times New Roman"/>
        <family val="2"/>
      </rPr>
      <t xml:space="preserve">
If the Charter does not have any amounts to report, enter a 0 value for each item as applicable.
</t>
    </r>
  </si>
  <si>
    <t>The total budget and actual expenses on line 33 should agree with the total column for federal and State projects on line 38 on page 2.</t>
  </si>
  <si>
    <t>Revenue from selected federal sources</t>
  </si>
  <si>
    <t xml:space="preserve">Report revenues received from selected federal sources listed on lines 1 through 4.
1. Student Support and Academic Enrichment Grants (subgrants from States only) (ESEA IV-A-1, section 4105)
The purpose of this grant is to improve students’ academic achievement by increasing the capacity of States, local educational agencies, schools, and local communities to provide all students with access to a well-rounded education, improve school conditions for student learning, and improve the use of technology in order to improve the academic achievement and digital literacy of all students. Additional information is available at the following link: </t>
  </si>
  <si>
    <t>https://www.azed.gov/titleiv-a/</t>
  </si>
  <si>
    <t>2. 21st Century Community Learning Centers (subgrants from States only—excludes awards under national activities) (ESEA IV-B)
This program is funded by a federal grant from the U.S. Department of Education and administered by the Arizona Department of Education. Additional information is available at the following link:</t>
  </si>
  <si>
    <t>https://www.azed.gov/21stcclc/federal-and-state-regulations/</t>
  </si>
  <si>
    <t>3. Rural education - Rural and Low-Income School program (RLIS) (ESEA V-B-2, section 5221)
The purpose of this program is to provide for equity in cases where rural or low-income schools receive allocations insufficient for their needs and are at a competitive disadvantage for other grants. Additional information is available at the following link:</t>
  </si>
  <si>
    <t xml:space="preserve"> https://www.azed.gov/titlei/sample-page/rural-low-income-schools-rlis/</t>
  </si>
  <si>
    <t xml:space="preserve">4. Rural education - Small, Rural School Achievement program (SRSA) (ESEA V-B-1, section 5211)
This program authorizes the U.S. Secretary of Education to award formula grants directly to eligible LEAs (i.e., those LEAs eligible under the alternative uses of funds program) to carry out activities authorized under other specified federal programs. Additional information is available at the following link: </t>
  </si>
  <si>
    <t>https://www.azed.gov/titlei/reap/</t>
  </si>
  <si>
    <t>For support assistance for federal and State grants, please contact the Arizona Department of Education's Grants Management Team:</t>
  </si>
  <si>
    <t>https://www.azed.gov/grants-management/contact/</t>
  </si>
  <si>
    <t>Cash and investments held at fiscal year end</t>
  </si>
  <si>
    <r>
      <t xml:space="preserve">Charters should report ending balance amounts of cash and investments (at market value) for the following funds:
     </t>
    </r>
    <r>
      <rPr>
        <b/>
        <sz val="10"/>
        <rFont val="Times New Roman"/>
        <family val="1"/>
      </rPr>
      <t xml:space="preserve">Sinking funds </t>
    </r>
    <r>
      <rPr>
        <sz val="10"/>
        <rFont val="Times New Roman"/>
        <family val="2"/>
      </rPr>
      <t xml:space="preserve">— funds containing reserves held specifically for redemption of long-term debt.
   </t>
    </r>
    <r>
      <rPr>
        <b/>
        <sz val="10"/>
        <rFont val="Times New Roman"/>
        <family val="1"/>
      </rPr>
      <t xml:space="preserve">  Bond funds </t>
    </r>
    <r>
      <rPr>
        <sz val="10"/>
        <rFont val="Times New Roman"/>
        <family val="2"/>
      </rPr>
      <t xml:space="preserve">— funds containing unexpended proceeds of bond issues that were being held pending their disbursement.                                       
     </t>
    </r>
    <r>
      <rPr>
        <b/>
        <sz val="10"/>
        <rFont val="Times New Roman"/>
        <family val="1"/>
      </rPr>
      <t xml:space="preserve">Other funds </t>
    </r>
    <r>
      <rPr>
        <sz val="10"/>
        <rFont val="Times New Roman"/>
        <family val="2"/>
      </rPr>
      <t xml:space="preserve">— all other funds, </t>
    </r>
    <r>
      <rPr>
        <b/>
        <sz val="10"/>
        <rFont val="Times New Roman"/>
        <family val="1"/>
      </rPr>
      <t>exclude</t>
    </r>
    <r>
      <rPr>
        <sz val="10"/>
        <rFont val="Times New Roman"/>
        <family val="2"/>
      </rPr>
      <t xml:space="preserve"> any employee retirement funds.
Include cash balances; cash on hand; certificates of deposit; federal securities; State and local government securities; mortgages; and corporate stocks, bonds, and notes. </t>
    </r>
    <r>
      <rPr>
        <b/>
        <sz val="10"/>
        <rFont val="Times New Roman"/>
        <family val="1"/>
      </rPr>
      <t>Exclude</t>
    </r>
    <r>
      <rPr>
        <sz val="10"/>
        <rFont val="Times New Roman"/>
        <family val="2"/>
      </rPr>
      <t xml:space="preserve"> accounts receivable, value of real property, and all nonsecurity assets.
This section was added to the AFR to assist with Form 33 reporting to NCES.
 </t>
    </r>
  </si>
  <si>
    <r>
      <t xml:space="preserve">Long-term debt—Report beginning and ending balances for all bonded indebtedness and any other interest-bearing debt with a term of more than 1 year on lines 1 and 4, respectively. Include bonds, notes, and loans. Report all long-term debt issued during the fiscal year on line 2. Report all principal payments made on long-term debt during the fiscal year on line 3.
Short-term debt—Report beginning and ending balances for interest-bearing debt with a term of 1 year or less such as bank revolving lines of credit and other short-term debt. Charters with short-term debt activity but no beginning and ending balances should report 0 on lines 5 and 6.
</t>
    </r>
    <r>
      <rPr>
        <b/>
        <sz val="10"/>
        <rFont val="Times New Roman"/>
        <family val="1"/>
      </rPr>
      <t>DO NOT INCLUDE</t>
    </r>
    <r>
      <rPr>
        <sz val="10"/>
        <rFont val="Times New Roman"/>
        <family val="2"/>
      </rPr>
      <t xml:space="preserve"> lease purchase agreements, compensated absences, accounts payable, and other noninterest bearing obligations in amounts reported in this section.
This section was added to the AFR to assist with Form 33 reporting to NCES.</t>
    </r>
  </si>
  <si>
    <t>Utilities and energy services</t>
  </si>
  <si>
    <r>
      <t xml:space="preserve">Report expenses for utility services, such as water and sewage services, coded to object code 6410, and energy expenses, such as electricity, gas, coal, and gasoline, coded to object codes 6621-6626. Services received from public or private utility companies should be reported here. Do </t>
    </r>
    <r>
      <rPr>
        <b/>
        <u/>
        <sz val="10"/>
        <rFont val="Times New Roman"/>
        <family val="1"/>
      </rPr>
      <t>not</t>
    </r>
    <r>
      <rPr>
        <sz val="10"/>
        <rFont val="Times New Roman"/>
        <family val="2"/>
      </rPr>
      <t xml:space="preserve"> include expenses for telephone or internet services.</t>
    </r>
  </si>
  <si>
    <t>Technology detail</t>
  </si>
  <si>
    <r>
      <t xml:space="preserve">Charters must report detailed technology-related technical services expenses, technology-related repairs and maintenance, and rental of computers and related equipment (object codes 6330, 6432, and 6441) in lines 1 through 3. </t>
    </r>
    <r>
      <rPr>
        <sz val="10"/>
        <color theme="1"/>
        <rFont val="Times New Roman"/>
        <family val="1"/>
      </rPr>
      <t xml:space="preserve">Do </t>
    </r>
    <r>
      <rPr>
        <b/>
        <sz val="10"/>
        <color theme="1"/>
        <rFont val="Times New Roman"/>
        <family val="1"/>
      </rPr>
      <t>not</t>
    </r>
    <r>
      <rPr>
        <sz val="10"/>
        <color theme="1"/>
        <rFont val="Times New Roman"/>
        <family val="1"/>
      </rPr>
      <t xml:space="preserve"> include nontechnology-related technical services expenses such as purchasing and warehouses services not related to technology.</t>
    </r>
    <r>
      <rPr>
        <sz val="10"/>
        <rFont val="Times New Roman"/>
        <family val="2"/>
      </rPr>
      <t xml:space="preserve">
Report expenses for telecommunications coded to object code 6531 on line 4. These amounts should only include expenses for telephone and voice communication services, and voicemail; data communication services to establish or maintain computer-based communications, networking, and Internet services; video communications services to establish or maintain one-way or two-way video communications via satellite, cable, or other devices billed by the service provider.
Report expenses for technology-related supplies coded to object code 6650 and technology-related hardware and software costs below the capitalization threshold on line 5. For technology-related supplies, include expenses for supplies that are typically used in conjunction with technology-related hardware or software (e.g., compact discs, flash drives, cables, and monitor stands). Technology-related hardware and software costs that exceed the capitalization threshold should be reported on line 6. Do </t>
    </r>
    <r>
      <rPr>
        <b/>
        <u/>
        <sz val="10"/>
        <rFont val="Times New Roman"/>
        <family val="1"/>
      </rPr>
      <t>not</t>
    </r>
    <r>
      <rPr>
        <sz val="10"/>
        <rFont val="Times New Roman"/>
        <family val="2"/>
      </rPr>
      <t xml:space="preserve"> include expenses for nontechnology-related equipment such as machinery, vehicles, and furniture.
</t>
    </r>
  </si>
  <si>
    <t xml:space="preserve">Charters must report detailed support services-instruction expenses for improvement of instruction and library/media services (function codes 2220 and 2230) in lines 1 and 2. </t>
  </si>
  <si>
    <t>The information included on this page is required for NPEFS reporting of COVID-19 federal relief projects. Most information on this page will be pulled with formulas from the charter's accounting data for projects identified as COVID-19 federal relief projects ("1310-1399-COVID-19 Federal Relief Projects", "1227-ARP-IDEA Preschool", and "1228-ARP-IDEA Basic"). The Charter must manually enter amounts to the nearest dollar in the orange highlighted cells, if applicable.</t>
  </si>
  <si>
    <t xml:space="preserve">Current expenses from COVID-19 federal relief projects table populates with function and object data from the Accounting data tab. Generally, line 9 should not show negative amounts. Any negative amounts displayed on line 9 will be highlighted with yellow shading. Please ensure that the Accounting Data tab was completed according to the instructions above. </t>
  </si>
  <si>
    <t>Technology Detail</t>
  </si>
  <si>
    <t xml:space="preserve">This table reports technology-related expenses from COVID-19 federal relief funds. Enter amounts for total technology spending (all functions) in column D and for classroom technology spending (functions 1000, 2100, and 2200) in column E for each item listed on lines 1 through 7. </t>
  </si>
  <si>
    <t>Technology Detail,
line 7</t>
  </si>
  <si>
    <t>Enter the total amount for instructional software coded to objects 6641—Library Books, 6642—Textbooks, and 6643—Instructional Aids. These purchases should be coded to function 1000 or 2200; therefore, the amount entered in the total spending column will pull to the classroom spending column in this line.</t>
  </si>
  <si>
    <t xml:space="preserve">Property disbursements should include actual payments made during the year for capital acquisitions, not including related capital lease or other debt service payments.  Property disbursements for nonfixed (movable) equipment in programs 100 through 630 should be allocated to functions 1000 through 4000 (other) based on the intended use of the equipment.  All other property disbursements for these programs should be included as "other". Property disbursements for Programs 700-900 must be entered into the separate table below. </t>
  </si>
  <si>
    <t>Property disbursement detail</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</si>
  <si>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cell L19 and those for Programs 700-900 (cells O25, O26, and O27). If no disbursements were made during the year, enter a 0 value in each line.</t>
  </si>
  <si>
    <t>Debt service
detail</t>
  </si>
  <si>
    <t>Debt service amounts should include interest and redemption of principal for all programs. Interest expenses should be charged to object code 6850.  Redemption of principal should include payments made during the year for principal on capital leases and other long-term debt that were recorded as a reduction of the related liability.</t>
  </si>
  <si>
    <t xml:space="preserve">https://www.azauditor.gov/District_charter_ADE_COVID-19_spending_special_report_FY_2022 </t>
  </si>
  <si>
    <t>COVID-19 federal relief projects, line 1</t>
  </si>
  <si>
    <t>Report information for monies received from the charter's Elementary and Secondary School Emergency Relief I project (ESSER I) award allocation, determined by ADE. Monies received from ADE as an ARP School and Community grantee should be reported on line 6.</t>
  </si>
  <si>
    <t>COVID-19 federal relief projects, line 2</t>
  </si>
  <si>
    <t>Report information for monies received from the charter's Elementary and Secondary School Emergency Relief II project (ESSER II) award allocation, determined by ADE. Monies received from ADE as an ARP School and Community grantee should be reported on line 6.</t>
  </si>
  <si>
    <t>COVID-19 federal relief projects, line 3</t>
  </si>
  <si>
    <t>Report information for monies received from the charter's Elementary and Secondary School Emergency Relief III project (ESSER III) award allocation, determined by ADE. Monies received from ADE as an ARP School and Community grantee should be reported on line 6.</t>
  </si>
  <si>
    <t>COVID-19 federal relief projects, line 4</t>
  </si>
  <si>
    <t>Report information for monies received from the Governor's Emergency Education Relief (GEER) project here. Examples of programs distributed from GEER include the Acceleration Academy Grant, Beat the Odds Leadership Academy Grant, and Teach for America Grant.
Do not report Enrollment Stabilities Grant (ESG) information on this line. ESG should be reported on line 5, Coronavirus Relief Fund (CRF)—Enrollment Stability Grant (ESG) Program.</t>
  </si>
  <si>
    <t>COVID-19 federal relief projects, line 5</t>
  </si>
  <si>
    <t>Report information for monies received from the Coronavirus Relief Fund (CRF)—Enrollment Stability Grant (ESG) Program.</t>
  </si>
  <si>
    <t>COVID-19 federal relief projects, line 6</t>
  </si>
  <si>
    <r>
      <t xml:space="preserve">Report all other information for COVID-related monies received that cannot be appropriately reported on lines 1 through 5 of this table. Include other grants identified by ADE, the Governor's Office, and other agencies for which the charter has federal reporting responsibilities. 
</t>
    </r>
    <r>
      <rPr>
        <b/>
        <sz val="10"/>
        <rFont val="Times New Roman"/>
        <family val="1"/>
      </rPr>
      <t>DO NOT INCLUDE AMOUNTS RECEIVED AS A VENDOR OR BENEFICIARY.</t>
    </r>
    <r>
      <rPr>
        <sz val="10"/>
        <rFont val="Times New Roman"/>
        <family val="2"/>
      </rPr>
      <t xml:space="preserve">
Examples of grants identified by ADE include:
ARP-IDEA grants (USFRCS Chart of Accounts projects 1227 and 1228)
ARP Homeless grants
ARP school and community grants
Food service awards 
Grants identified by the Governor's Office include: 
Expansion and Innovation Fund microgrants
Project Momentum
Civic Innovation
Education Plus-Up
100 Day In-Person Reimbursement
AZ OnTrack Summer Camp 
Grants identified by other agencies include: 
Arizona Department of Emergency and Military Affairs (DEMA) FEMA Public Assistance Program
Emergency Connectivity Fund 
Arizona Department of Economic Security (DES)
Small Business Administration (SBA)—Paycheck Protection Program </t>
    </r>
  </si>
  <si>
    <t>COVID-19 federal relief projects, Total Award
(all fiscal years)</t>
  </si>
  <si>
    <t>COVID-19 federal relief projects, Amount Remaining to Spend/Conditional formatting</t>
  </si>
  <si>
    <t>Paycheck Protection Program
detail</t>
  </si>
  <si>
    <t>Enter Paycheck Protection Program (PPP) amounts for all fiscal years on lines 1-4. If the amount is zero, enter 0. 
Report PPP loan amounts returned to the issuing bank or the Small Business Administration on line 4.
Line 5 subtracts the amounts reported for PPP loans spent in all fiscal years (line 2) and PPP amounts returned (line 4) from total loan amount received (line 1). When the table is completed, Line 5 should equal 0. 
All PPP information should be reported on line 6 of the  COVID-19 federal relief projects table. The Total loan amount received should be reported within the Total Award (all fiscal years) and Total PPP loans spent in all fiscal years should be reported within the applicable year's expenses.</t>
  </si>
  <si>
    <t>Summary</t>
  </si>
  <si>
    <t>The Summary condenses the information in the AFR. Most information in the Summary automatically pulls from the AFR, so the AFR should be completed before the Summary. The Charter must manually enter amounts to the nearest dollar in the orange highlighted cells, if applicable.</t>
  </si>
  <si>
    <t>ADM</t>
  </si>
  <si>
    <t>Beginning Project Balances</t>
  </si>
  <si>
    <t>Adjusted Beginning Project Balance</t>
  </si>
  <si>
    <t>Reserve Balance tab</t>
  </si>
  <si>
    <t>Section A
General</t>
  </si>
  <si>
    <t>Section A
Line 1</t>
  </si>
  <si>
    <t>Section A
Line 2</t>
  </si>
  <si>
    <t>Section A
Line 3</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</si>
  <si>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</si>
  <si>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Section A
Line 3.a</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</si>
  <si>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</si>
  <si>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t>Section A
Line 3.b</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</si>
  <si>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</si>
  <si>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</si>
  <si>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</si>
  <si>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</si>
  <si>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</si>
  <si>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</si>
  <si>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Section A
Lines 3.g</t>
  </si>
  <si>
    <t>Report amounts set aside to manage cash flows in future budget years to cover such things as revenue shortfalls, emergencies, and/or other unforeseen circumstances.</t>
  </si>
  <si>
    <t>Section B</t>
  </si>
  <si>
    <t>Line 4</t>
  </si>
  <si>
    <t>Line 5</t>
  </si>
  <si>
    <t>Element 1</t>
  </si>
  <si>
    <t>Element 2</t>
  </si>
  <si>
    <t>Element 3</t>
  </si>
  <si>
    <t>Element 4</t>
  </si>
  <si>
    <t>Element 5</t>
  </si>
  <si>
    <t>Description</t>
  </si>
  <si>
    <t xml:space="preserve"> YTD Transactions </t>
  </si>
  <si>
    <t>Project</t>
  </si>
  <si>
    <t>Program</t>
  </si>
  <si>
    <t>Function</t>
  </si>
  <si>
    <t>Object</t>
  </si>
  <si>
    <t>Unit</t>
  </si>
  <si>
    <t>Dropdown list for Project</t>
  </si>
  <si>
    <t>Dropdown list for Program</t>
  </si>
  <si>
    <t>Dropdown list for Function</t>
  </si>
  <si>
    <t>Dropdown list for Object</t>
  </si>
  <si>
    <t>Balance Sheet (asset or liability)</t>
  </si>
  <si>
    <t>1000-Schoolwide Project</t>
  </si>
  <si>
    <t>1010-Classroom Site Project</t>
  </si>
  <si>
    <t>6100-Salaries</t>
  </si>
  <si>
    <t>1020-Instructional Improvement Project</t>
  </si>
  <si>
    <t>100-Regular Education</t>
  </si>
  <si>
    <t>1000-Instruction</t>
  </si>
  <si>
    <t>6200-Employee Benefits</t>
  </si>
  <si>
    <t>1071-English Language Learner</t>
  </si>
  <si>
    <t>200-Special Education</t>
  </si>
  <si>
    <t>1900-Other Instructional Staff</t>
  </si>
  <si>
    <t>6300-6400-6500-Purchased Services</t>
  </si>
  <si>
    <t>1072-Compensatory Instruction Project</t>
  </si>
  <si>
    <t>260-English Language Learners Incremental Costs</t>
  </si>
  <si>
    <t>2100-Support Services-Students</t>
  </si>
  <si>
    <t>6600-Supplies</t>
  </si>
  <si>
    <t>1100-1130-ESEA Title I - Helping Disadvantaged Children</t>
  </si>
  <si>
    <t>265-English Language Learners Compensatory Instruction</t>
  </si>
  <si>
    <t>2200-Support Services-Instruction</t>
  </si>
  <si>
    <t>6700-Property (depreciation &amp; impairments)</t>
  </si>
  <si>
    <t>1140-1150-ESEA Title II  - Prof. Dev. And Technology</t>
  </si>
  <si>
    <t>270-Vocational and Technical Education</t>
  </si>
  <si>
    <t>2220-Improvement of Instruction</t>
  </si>
  <si>
    <t>6810-Dues &amp; Fees</t>
  </si>
  <si>
    <t>1160-ESEA  Title IV - 21st Century Schools</t>
  </si>
  <si>
    <t>400-Pupil Transportation</t>
  </si>
  <si>
    <t>2230-Library/Media Services</t>
  </si>
  <si>
    <t>6820-Judgments Against a Charter</t>
  </si>
  <si>
    <t>1170-1180-ESEA Title V - Promote Informed Parent Choice</t>
  </si>
  <si>
    <t>430-Pupil Transportation-ELL Incremental Costs</t>
  </si>
  <si>
    <t>2300-Support Services-General Administration</t>
  </si>
  <si>
    <t>6850-Interest</t>
  </si>
  <si>
    <t>1190-ESEA  Title III - Limited Eng. &amp; Immigrant Students</t>
  </si>
  <si>
    <t>435-Pupil Transportation-ELL Compensatory Instruction</t>
  </si>
  <si>
    <t>2400-Support Services-School Administration</t>
  </si>
  <si>
    <t>6890-Miscellaneous</t>
  </si>
  <si>
    <t>1200-ESEA Title VII - Indian Education</t>
  </si>
  <si>
    <t>530-Dropout Prevention Programs</t>
  </si>
  <si>
    <t>2500-Central Services</t>
  </si>
  <si>
    <t>6830-6840-6860-6870 Other Expenses and Losses</t>
  </si>
  <si>
    <t>1210-ESEA Title VI - Flexibility and Accountability</t>
  </si>
  <si>
    <t>540-Joint Career &amp; Technical Ed. &amp; Vocational Ed. Center</t>
  </si>
  <si>
    <t>2600-Operation and Maintenance of Plant</t>
  </si>
  <si>
    <t>6900-Other Objects (Indirect Costs)</t>
  </si>
  <si>
    <t>1220-IDEA, Part B</t>
  </si>
  <si>
    <t>550-K-3 Reading Program</t>
  </si>
  <si>
    <t>2700-Student Transportation</t>
  </si>
  <si>
    <t>1310-Tuition from Individuals</t>
  </si>
  <si>
    <t>1227-ARP-IDEA Preschool</t>
  </si>
  <si>
    <t>610-School-Sponsored Cocurricular Activities</t>
  </si>
  <si>
    <t>2900-Other Support Services</t>
  </si>
  <si>
    <t>1320-Tuition from Other Arizona Schools or Districts</t>
  </si>
  <si>
    <t>1228-ARP-IDEA Basic</t>
  </si>
  <si>
    <t>620-School-Sponsored Athletics</t>
  </si>
  <si>
    <t>3100-Food Service Operations</t>
  </si>
  <si>
    <t>1410-Transportation Fees from Individuals</t>
  </si>
  <si>
    <t>1230-Johnson-O'Malley</t>
  </si>
  <si>
    <t>630-Other Instructional Programs</t>
  </si>
  <si>
    <t>3300-Community Service Operations</t>
  </si>
  <si>
    <t>1420-Transportation Fees from Other Arizona Schools or Districts</t>
  </si>
  <si>
    <t>1240-Workforce Investment Act</t>
  </si>
  <si>
    <t>700-Adult/Continuing Education Programs</t>
  </si>
  <si>
    <t>3400-Bookstore Operations</t>
  </si>
  <si>
    <t>1500-Earnings on Investments</t>
  </si>
  <si>
    <t>1250-AEA - Adult Education</t>
  </si>
  <si>
    <t>800-Community College Education Programs</t>
  </si>
  <si>
    <t>4000-Facilities Acquisition &amp; Construction</t>
  </si>
  <si>
    <t>1600-Food Service</t>
  </si>
  <si>
    <t>1260-1270-Vocational Education - Basic Grants</t>
  </si>
  <si>
    <t>900-Community Services Programs</t>
  </si>
  <si>
    <t>5000-Debt Service</t>
  </si>
  <si>
    <t xml:space="preserve">1700-School Activities </t>
  </si>
  <si>
    <t>1280-ESEA Title X - Homeless Education</t>
  </si>
  <si>
    <t>1750-Revenue from Enterprise Activities</t>
  </si>
  <si>
    <t>1290-Medicaid Reimbursement</t>
  </si>
  <si>
    <t>1790-Extracurricular Activities Fees Tax Credit</t>
  </si>
  <si>
    <t>1300-Charter School Implementation Project (Stimulus)</t>
  </si>
  <si>
    <t>1800-Revenue from Community Services Activities</t>
  </si>
  <si>
    <t>13XX-Impact Aid</t>
  </si>
  <si>
    <t>1310-1399-COVID-19 Federal Relief Projects</t>
  </si>
  <si>
    <t>1920-Contributions and Donations from Private Sources</t>
  </si>
  <si>
    <t>1310-1399-Other Federal Projects</t>
  </si>
  <si>
    <t>Other Revenue from Local Sources</t>
  </si>
  <si>
    <t>1400-Vocational Education</t>
  </si>
  <si>
    <t>2100-Unrestricted Revenue from Intermediate Sources</t>
  </si>
  <si>
    <t>1410-Early Childhood Block Grant</t>
  </si>
  <si>
    <t>2200-Restricted Revenue from Intermediate Sources</t>
  </si>
  <si>
    <t>1420-Extended School Year - Pupils with Disabilities</t>
  </si>
  <si>
    <t>Other Revenue from Intermediate Sources</t>
  </si>
  <si>
    <t>1425-Adult Basic Education</t>
  </si>
  <si>
    <t>3110-State Equalization Assistance</t>
  </si>
  <si>
    <t>1430-Chemical Abuse Prevention Programs</t>
  </si>
  <si>
    <t>3130-3150-Other Unrestricted Revenue from State Sources</t>
  </si>
  <si>
    <t>1435-Academic Contests</t>
  </si>
  <si>
    <t>3200-Restricted Revenue from State Sources</t>
  </si>
  <si>
    <t>1450-Gifted Education</t>
  </si>
  <si>
    <t>3900-Revenue for/on Behalf of the School</t>
  </si>
  <si>
    <t>1456-College Credit Exam Incentives</t>
  </si>
  <si>
    <t>Other Revenue from State Sources</t>
  </si>
  <si>
    <t>4100, 4300-Unrestricted/Restricted Received Directly from the Federal Government</t>
  </si>
  <si>
    <t>1460-Environmental Special Plate</t>
  </si>
  <si>
    <t>4200, 4500-Unrestricted/Restricted Received from the Federal Government through the State</t>
  </si>
  <si>
    <t>1465-Charter School Stimulus Fund</t>
  </si>
  <si>
    <t>4700-Revenue Received from the Federal Government through Other Intermediate Agencies</t>
  </si>
  <si>
    <t>14XX-Arizona Industry Credentials Incentive</t>
  </si>
  <si>
    <t>4800-Federal Impact Aid</t>
  </si>
  <si>
    <t>1470-1499-Other State Projects</t>
  </si>
  <si>
    <t>4900-Revenue for/on Behalf of the School</t>
  </si>
  <si>
    <t>1500-1999-Other Special Projects</t>
  </si>
  <si>
    <t>Other Revenue from Federal Sources</t>
  </si>
  <si>
    <t>9999-Other Non PSD-12 Projects</t>
  </si>
  <si>
    <t>Project(s)</t>
  </si>
  <si>
    <t>Program(s)</t>
  </si>
  <si>
    <t>Function(s)</t>
  </si>
  <si>
    <t>Object(s)</t>
  </si>
  <si>
    <t xml:space="preserve">Amount </t>
  </si>
  <si>
    <t>all</t>
  </si>
  <si>
    <t xml:space="preserve">9999-Other Non PSD-12 Projects </t>
  </si>
  <si>
    <t>700-900</t>
  </si>
  <si>
    <t xml:space="preserve">Total for all Projects (excluding 9999-Other Non PSD-12 Projects ), Programs 100-630, Function 1000, and Object 6100 </t>
  </si>
  <si>
    <t xml:space="preserve">Total for all Projects (excluding 9999-Other Non PSD-12 Projects ), Programs 100-630, Function 2100, and Object 6100 </t>
  </si>
  <si>
    <t xml:space="preserve">Total for all Projects (excluding 9999-Other Non PSD-12 Projects ), Programs 100-630, Function 2200, and Object 6100 </t>
  </si>
  <si>
    <t xml:space="preserve">Total for all Projects (excluding 9999-Other Non PSD-12 Projects ), Programs 100-630, Function 2300, and Object 6100 </t>
  </si>
  <si>
    <t xml:space="preserve">Total for all Projects (excluding 9999-Other Non PSD-12 Projects ), Programs 100-630, Function 2400, and Object 6100 </t>
  </si>
  <si>
    <t xml:space="preserve">Total for all Projects (excluding 9999-Other Non PSD-12 Projects ), Programs 100-630, Function 2500, and Object 6100 </t>
  </si>
  <si>
    <t xml:space="preserve">Total for all Projects (excluding 9999-Other Non PSD-12 Projects ), Programs 100-630, Function 2900, and Object 6100 </t>
  </si>
  <si>
    <t xml:space="preserve">Total for all Projects (excluding 9999-Other Non PSD-12 Projects ), Programs 100-630, Function 2600, and Object 6100 </t>
  </si>
  <si>
    <t xml:space="preserve">Total for all Projects (excluding 9999-Other Non PSD-12 Projects ), Programs 100-630, Function 2700, and Object 6100 </t>
  </si>
  <si>
    <t xml:space="preserve">Total for all Projects (excluding 9999-Other Non PSD-12 Projects ), Programs 100-630, Function 3100, and Object 6100 </t>
  </si>
  <si>
    <t xml:space="preserve">Total for all Projects (excluding 9999-Other Non PSD-12 Projects ), Programs 100-630, Function 3400, and Object 6100 </t>
  </si>
  <si>
    <t xml:space="preserve">Total for all Projects (excluding 9999-Other Non PSD-12 Projects ), Programs 100-630, Function 4000, and Object 6100 </t>
  </si>
  <si>
    <t>Total for all Projects (excluding 9999-Other Non PSD-12 Projects ), Programs 100-630, All Functions except 4000, and Object 6100</t>
  </si>
  <si>
    <t>1100-1399</t>
  </si>
  <si>
    <t xml:space="preserve">Total for Projects 1100-1399, Programs 100-630, Functions 1000-3000, and Object 6100 </t>
  </si>
  <si>
    <t xml:space="preserve">Total for all Projects (excluding 9999-Other Non PSD-12 Projects ), Programs 100-630, Function 1000, and Object 6200 </t>
  </si>
  <si>
    <t xml:space="preserve">Total for all Projects (excluding 9999-Other Non PSD-12 Projects ), Programs 100-630, Function 2100, and Object 6200 </t>
  </si>
  <si>
    <t xml:space="preserve">Total for all Projects (excluding 9999-Other Non PSD-12 Projects ), Programs 100-630, Function 2200, and Object 6200 </t>
  </si>
  <si>
    <t xml:space="preserve">Total for all Projects (excluding 9999-Other Non PSD-12 Projects ), Programs 100-630, Function 2300, and Object 6200 </t>
  </si>
  <si>
    <t xml:space="preserve">Total for all Projects (excluding 9999-Other Non PSD-12 Projects ), Programs 100-630, Function 2400, and Object 6200 </t>
  </si>
  <si>
    <t xml:space="preserve">Total for all Projects (excluding 9999-Other Non PSD-12 Projects ), Programs 100-630, Function 2500, and Object 6200 </t>
  </si>
  <si>
    <t xml:space="preserve">Total for all Projects (excluding 9999-Other Non PSD-12 Projects ), Programs 100-630, Function 2900, and Object 6200 </t>
  </si>
  <si>
    <t xml:space="preserve">Total for all Projects (excluding 9999-Other Non PSD-12 Projects ), Programs 100-630, Function 2600, and Object 6200 </t>
  </si>
  <si>
    <t xml:space="preserve">Total for all Projects (excluding 9999-Other Non PSD-12 Projects ), Programs 100-630, Function 2700, and Object 6200 </t>
  </si>
  <si>
    <t xml:space="preserve">Total for all Projects (excluding 9999-Other Non PSD-12 Projects ), Programs 100-630, Function 3100, and Object 6200 </t>
  </si>
  <si>
    <t xml:space="preserve">Total for all Projects (excluding 9999-Other Non PSD-12 Projects ), Programs 100-630, Function 3400, and Object 6200 </t>
  </si>
  <si>
    <t xml:space="preserve">Total for all Projects(excluding 9999-Other Non PSD-12 Projects ), Programs 100-630, Function 4000, and Object 6200 </t>
  </si>
  <si>
    <t>Total for all Projects (excluding 9999-Other Non PSD-12 Projects ), Programs 100-630, All Functions excluding 4000, and Object 6200</t>
  </si>
  <si>
    <t xml:space="preserve">Total for Projects 1100-1399, Programs 100-630, Functions 1000-3000, and Object 6200 </t>
  </si>
  <si>
    <t>6300, 6400, and 6500</t>
  </si>
  <si>
    <t>Total for all Projects (excluding 9999-Other Non PSD-12 Projects ), Programs 100-630, Function 1000, and Object 6300, 6400, and 6500</t>
  </si>
  <si>
    <t>Total for all Projects (excluding 9999-Other Non PSD-12 Projects ), Programs 100-630, Function 2100, and Object 6300, 6400, and 6500</t>
  </si>
  <si>
    <t>Total for all Projects (excluding 9999-Other Non PSD-12 Projects ), Programs 100-630, Function 2200, and Object 6300, 6400, and 6500</t>
  </si>
  <si>
    <t>Total for all Projects (excluding 9999-Other Non PSD-12 Projects ), Programs 100-630, Function 2300, and Object 6300, 6400, and 6500</t>
  </si>
  <si>
    <t>Total for all Projects (excluding 9999-Other Non PSD-12 Projects ), Programs 100-630, Function 2400, and Object 6300, 6400, and 6500</t>
  </si>
  <si>
    <t>Total for all Projects (excluding 9999-Other Non PSD-12 Projects ), Programs 100-630, Function 2500, and Object 6300, 6400, and 6500</t>
  </si>
  <si>
    <t>Total for all Projects (excluding 9999-Other Non PSD-12 Projects ), Programs 100-630, Function 2900, and Object 6300, 6400, and 6500</t>
  </si>
  <si>
    <t>Total for all Projects (excluding 9999-Other Non PSD-12 Projects ), Programs 100-630, Function 2600, and Object 6300, 6400, and 6500</t>
  </si>
  <si>
    <t>Total for all Projects (excluding 9999-Other Non PSD-12 Projects ), Programs 100-630, Function 2700, and Object 6300, 6400, and 6500</t>
  </si>
  <si>
    <t xml:space="preserve">Total for all Projects (excluding 9999-Other Non PSD-12 Projects ), Programs 100-630, Function 3100, and Object 6300, 6400, and 6500 </t>
  </si>
  <si>
    <t>Total for all Projects (excluding 9999-Other Non PSD-12 Projects ), Programs 100-630, Function 3400, and Object 6300, 6400, and 6500</t>
  </si>
  <si>
    <t>Total for all Projects (excluding 9999-Other Non PSD-12 Projects ), Programs 100-630, Function 4000, and Object 6300, 6400, and 6500</t>
  </si>
  <si>
    <t>Total for all Projects (excluding 9999-Other Non PSD-12 Projects ), Programs 100-630, All Functions excluding 4000, and Objects 6300, 6400, and 6500</t>
  </si>
  <si>
    <t xml:space="preserve">Total for Projects 1100-1399, Programs 100-630, Functions 1000-3000, and Object 6300 </t>
  </si>
  <si>
    <t xml:space="preserve">Total for Projects 1100-1399, Programs 100-630, Functions 1000-3000, and Object 6400 </t>
  </si>
  <si>
    <t xml:space="preserve">Total for Projects 1100-1399, Programs 100-630, Functions 1000-3000, and Object 6500 </t>
  </si>
  <si>
    <t xml:space="preserve">Total for Projects 1100-1399, Programs 100-630, Functions 1000-3000, and Objects 6300,6400 and 6500 </t>
  </si>
  <si>
    <t>Total for all Projects (excluding 9999-Other Non PSD-12 Projects ), Programs 100-630, Function 1000, and Object 6600</t>
  </si>
  <si>
    <t>Total for all Projects (excluding 9999-Other Non PSD-12 Projects ), Programs 100-630, Function 2100, and Object 6600</t>
  </si>
  <si>
    <t>Total for all Projects (excluding 9999-Other Non PSD-12 Projects ), Programs 100-630, Function 2200, and Object 6600</t>
  </si>
  <si>
    <t>Total for all Projects (excluding 9999-Other Non PSD-12 Projects ), Programs 100-630, Function 2300, and Object 6600</t>
  </si>
  <si>
    <t>Total for all Projects (excluding 9999-Other Non PSD-12 Projects ), Programs 100-630, Function 2400, and Object 6600</t>
  </si>
  <si>
    <t>Total for all Projects (excluding 9999-Other Non PSD-12 Projects ), Programs 100-630, Function 2500, and Object 6600</t>
  </si>
  <si>
    <t>Total for all Projects (excluding 9999-Other Non PSD-12 Projects ), Programs 100-630, Function 2900, and Object 6600</t>
  </si>
  <si>
    <t>Total for all Projects (excluding 9999-Other Non PSD-12 Projects ), Programs 100-630, Function 2600, and Object 6600</t>
  </si>
  <si>
    <t>Total for all Projects (excluding 9999-Other Non PSD-12 Projects ), Programs 100-630, Function 2700, and Object 6600</t>
  </si>
  <si>
    <t>Total for all Projects (excluding 9999-Other Non PSD-12 Projects ), Programs 100-630, Function 3100, and Object 6600</t>
  </si>
  <si>
    <t>Total for all Projects (excluding 9999-Other Non PSD-12 Projects ), Programs 100-630, Function 3400, and Object 6600</t>
  </si>
  <si>
    <t>Total for all Projects (excluding 9999-Other Non PSD-12 Projects ), Programs 100-630, Function 4000, and Object 6600</t>
  </si>
  <si>
    <t>Total for all Projects (excluding 9999-Other Non PSD-12 Projects ), Programs 100-630, All Functions excluding 4000, and Object 6600</t>
  </si>
  <si>
    <t>Total for Projects 1100-1399, Programs 100-630, Functions 1000-3000, and Object 6600</t>
  </si>
  <si>
    <t>Total for all Projects (excluding 9999-Other Non PSD-12 Projects ), Programs 100-630, Function 1000, and Object 6810</t>
  </si>
  <si>
    <t>Total for all Projects (excluding 9999-Other Non PSD-12 Projects ), Programs 100-630, Function 2100, and Object 6810</t>
  </si>
  <si>
    <t>Total for all Projects (excluding 9999-Other Non PSD-12 Projects ), Programs 100-630, Function 2200, and Object 6810</t>
  </si>
  <si>
    <t>Total for all Projects (excluding 9999-Other Non PSD-12 Projects ), Programs 100-630, Function 2300, and Object 6810</t>
  </si>
  <si>
    <t>Total for all Projects (excluding 9999-Other Non PSD-12 Projects ), Programs 100-630, Function 2400, and Object 6810</t>
  </si>
  <si>
    <t>Total for all Projects (excluding 9999-Other Non PSD-12 Projects ), Programs 100-630, Function 2500, and Object 6810</t>
  </si>
  <si>
    <t>Total for all Projects (excluding 9999-Other Non PSD-12 Projects ), Programs 100-630, Function 2900, and Object 6810</t>
  </si>
  <si>
    <t>Total for all Projects (excluding 9999-Other Non PSD-12 Projects ), Programs 100-630, Function 2600, and Object 6810</t>
  </si>
  <si>
    <t>Total for all Projects (excluding 9999-Other Non PSD-12 Projects ), Programs 100-630, Function 2700, and Object 6810</t>
  </si>
  <si>
    <t>Total for all Projects (excluding 9999-Other Non PSD-12 Projects ), Programs 100-630, Function 3100, and Object 6810</t>
  </si>
  <si>
    <t>Total for all Projects (excluding 9999-Other Non PSD-12 Projects ), Programs 100-630, Function 3400, and Object 6810</t>
  </si>
  <si>
    <t>Total for all Projects (excluding 9999-Other Non PSD-12 Projects ), Programs 100-630, Function 4000, and Object 6810</t>
  </si>
  <si>
    <t>Total for all Projects (excluding 9999-Other Non PSD-12 Projects ), Programs 100-630, All Functions excluding 4000, and Object 6810</t>
  </si>
  <si>
    <t>Total for Projects 1100-1399, Programs 100-630, Functions 1000-3000, and Object 6810</t>
  </si>
  <si>
    <t>Total for all Projects (excluding 9999-Other Non PSD-12 Projects ), Programs 100-630, Function 2300, and Object 6820</t>
  </si>
  <si>
    <t>Total for Projects 1100-1399, Programs 100-630, Function 2300, and Object 6820</t>
  </si>
  <si>
    <t>Total for all Projects (excluding 9999-Other Non PSD-12 Projects ), Programs 100-630, Function 2500, and Object 6850</t>
  </si>
  <si>
    <t>Total for Projects 1100-1399, Programs 100-630, Functions 2500, and Object 6850</t>
  </si>
  <si>
    <t>Total for all Projects (excluding 9999-Other Non PSD-12 Projects ), Programs 100-630, Function 1000, and Object 6890</t>
  </si>
  <si>
    <t>Total for all Projects (excluding 9999-Other Non PSD-12 Projects ), Programs 100-630, Function 2100, and Object 6890</t>
  </si>
  <si>
    <t>Total for all Projects (excluding 9999-Other Non PSD-12 Projects ), Programs 100-630, Function 2200, and Object 6890</t>
  </si>
  <si>
    <t>Total for all Projects (excluding 9999-Other Non PSD-12 Projects ), Programs 100-630, Function 2300, and Object 6890</t>
  </si>
  <si>
    <t>Total for all Projects (excluding 9999-Other Non PSD-12 Projects ), Programs 100-630, Function 2400, and Object 6890</t>
  </si>
  <si>
    <t>Total for all Projects (excluding 9999-Other Non PSD-12 Projects ), Programs 100-630, Function 2500, and Object 6890</t>
  </si>
  <si>
    <t>Total for all Projects (excluding 9999-Other Non PSD-12 Projects ), Programs 100-630, Function 2900, and Object 6890</t>
  </si>
  <si>
    <t>Total for all Projects (excluding 9999-Other Non PSD-12 Projects ), Programs 100-630, Function 2600, and Object 6890</t>
  </si>
  <si>
    <t>Total for all Projects (excluding 9999-Other Non PSD-12 Projects ), Programs 100-630, Function 2700, and Object 6890</t>
  </si>
  <si>
    <t>Total for all Projects (excluding 9999-Other Non PSD-12 Projects ), Programs 100-630, Function 3100, and Object 6890</t>
  </si>
  <si>
    <t>Total for all Projects (excluding 9999-Other Non PSD-12 Projects ), Programs 100-630, Function 3200, and Object 6890</t>
  </si>
  <si>
    <t>Total for all Projects (excluding 9999-Other Non PSD-12 Projects ), Programs 100-630, Function 3400, and Object 6890</t>
  </si>
  <si>
    <t>Total for all Projects (excluding 9999-Other Non PSD-12 Projects ), Programs 100-630, Function 4000, and Object 6890</t>
  </si>
  <si>
    <t>Total for all Projects (excluding 9999-Other Non PSD-12 Projects ), Programs 100-630, All Functions excluding 4000, and Object 6890</t>
  </si>
  <si>
    <t>Total for Projects 1100-1399, Programs 100-630, Functions 1000-3000, and Object 6890</t>
  </si>
  <si>
    <t>Total for all Projects (excluding 9999-Other Non PSD-12 Projects ), Programs 700-900, Function 1000, and all 6000 Objects, excluding 6700 and 6900</t>
  </si>
  <si>
    <t>Total for all Projects (excluding 9999-Other Non PSD-12 Projects ), Programs 700-900, Function 2100, and all 6000 Objects, excluding 6700 and 6900</t>
  </si>
  <si>
    <t>Total for all Projects (excluding 9999-Other Non PSD-12 Projects ), Programs 700-900, Function 2200, and all 6000 Objects, excluding 6700 and 6900</t>
  </si>
  <si>
    <t>Total for all Projects (excluding 9999-Other Non PSD-12 Projects ), Programs 700-900, Function 2300, and all 6000 Objects, excluding 6700 and 6900</t>
  </si>
  <si>
    <t>Total for all Projects (excluding 9999-Other Non PSD-12 Projects ), Programs 700-900, Function 2400, and all 6000 Objects, excluding 6700 and 6900</t>
  </si>
  <si>
    <t>Total for all Projects (excluding 9999-Other Non PSD-12 Projects ), Programs 700-900, Function 2500, and all 6000 Objects, excluding 6700 and 6900</t>
  </si>
  <si>
    <t>Total for all Projects (excluding 9999-Other Non PSD-12 Projects ), Programs 700-900, Function 2900, and all 6000 Objects, excluding 6700 and 6900</t>
  </si>
  <si>
    <t>Total for all Projects (excluding 9999-Other Non PSD-12 Projects ), Programs 700-900, Function 2600, and all 6000 Objects, excluding 6700 and 6900</t>
  </si>
  <si>
    <t>Total for all Projects (excluding 9999-Other Non PSD-12 Projects ), Programs 700-900, Function 3100, and all 6000 Objects, excluding 6700 and 6900</t>
  </si>
  <si>
    <t>Total for all Projects (excluding 9999-Other Non PSD-12 Projects ), Programs 700-900, Function 3300, and all 6000 Objects, excluding 6700 and 6900</t>
  </si>
  <si>
    <t>Total for all Projects (excluding 9999-Other Non PSD-12 Projects ), Programs 700-900, Function 3400, and all 6000 Objects, excluding 6700 and 6900</t>
  </si>
  <si>
    <t>Total for all Projects (excluding 9999-Other Non PSD-12 Projects ), Programs 700-900, Function 4000, and all 6000 Objects, excluding 6700 and 6900</t>
  </si>
  <si>
    <t>Total for all Projects (excluding 9999-Other Non PSD-12 Projects ), Programs 700-900, Function 5000, and all 6000 Objects, excluding 6700 and 6900</t>
  </si>
  <si>
    <t>Total for all Projects (excluding 9999-Other Non PSD-12 Projects ), Programs 700-900, All Functions except 4000-5000, and all 6000 Objects, excluding 6700 and 6900</t>
  </si>
  <si>
    <t>Total for Projects 1100-1399, Programs 700-900, All Functions, and all 6000 Objects excluding 6900</t>
  </si>
  <si>
    <t>900-949</t>
  </si>
  <si>
    <t>Total for 9999-Other Non PSD-12 Projects, All Programs, All Functions, All 6000 Objects</t>
  </si>
  <si>
    <t>Total for all Projects (excluding 9999-Other Non PSD-12 Projects ), Programs 100-630, Function 5000, and Object 6850</t>
  </si>
  <si>
    <t>Total for all Projects (excluding 9999-Other Non PSD-12 Projects ), Programs 100-630, Function 1000, and Object 6800</t>
  </si>
  <si>
    <t>Total for all Projects (excluding 9999-Other Non PSD-12 Projects ), Programs 100-630, Function 2100, and Object 6800</t>
  </si>
  <si>
    <t>Total for all Projects (excluding 9999-Other Non PSD-12 Projects ), Programs 100-630, Function 2200, and Object 6800</t>
  </si>
  <si>
    <t>Total for all Projects (excluding 9999-Other Non PSD-12 Projects ), Programs 100-630, Function 2300, and Object 6800</t>
  </si>
  <si>
    <t>Total for all Projects (excluding 9999-Other Non PSD-12 Projects ), Programs 100-630, Function 2400, and Object 6800</t>
  </si>
  <si>
    <t>Total for all Projects (excluding 9999-Other Non PSD-12 Projects ), Programs 100-630, Function 2500, and Object 6800</t>
  </si>
  <si>
    <t>Total for all Projects (excluding 9999-Other Non PSD-12 Projects ), Programs 100-630, Function 2900, and Object 6800</t>
  </si>
  <si>
    <t>Total for all Projects (excluding 9999-Other Non PSD-12 Projects ), Programs 100-630, Function 2600, and Object 6800</t>
  </si>
  <si>
    <t>Total for all Projects (excluding 9999-Other Non PSD-12 Projects ), Programs 100-630, Function 2700, and Object 6800</t>
  </si>
  <si>
    <t>Total for all Projects (excluding 9999-Other Non PSD-12 Projects ), Programs 100-630, Function 3100, and Object 6800</t>
  </si>
  <si>
    <t>Total for all Projects (excluding 9999-Other Non PSD-12 Projects ), Programs 100-630, Function 3400, and Object 6800</t>
  </si>
  <si>
    <t>Total for all Projects (excluding 9999-Other Non PSD-12 Projects ), Programs 700-900, All Functions except 4000, and Object 6800</t>
  </si>
  <si>
    <t>Total for Projects 1100-1399, Programs 100-630, Functions 1000-3000, and Object 6800</t>
  </si>
  <si>
    <t>Total for all Projects (excluding 9999-Other Non PSD-12 Projects ), Programs 100-630, Function 4000, and Object 6800</t>
  </si>
  <si>
    <t>Total for all Projects (excluding 9999-Other Non PSD-12 Projects ), Programs 100-630, Function 1900, and Object 6100</t>
  </si>
  <si>
    <t xml:space="preserve">Total for Projects 1100-1399, Programs 100-630, Functions 1900, and Object 6100 </t>
  </si>
  <si>
    <t>Total for State and Local Projects, Programs 100-630, Functions 1900, and Object 6100</t>
  </si>
  <si>
    <t>Total for all Projects (excluding 9999-Other Non PSD-12 Projects ), Programs 100-630, Function 5000, and Object 6800</t>
  </si>
  <si>
    <t>The Charter should complete the Cover, School listing, and Accounting data tabs first. This file has been designed to populate most amounts automatically based on provided accounting data. The Charter must manually enter amounts to the nearest dollar in the orange highlighted cells. Do not enter information in the shaded areas or protected cells and do not change formulas. Charters must follow all instructions to ensure uploaded files will pass validation checks.</t>
  </si>
  <si>
    <t>B. Project balance reserve process or policy</t>
  </si>
  <si>
    <t>Governing Board policy number (N/A if no adopted policy exists):</t>
  </si>
  <si>
    <t>Does the Charter operate additional school sites with resources that are not reflected in the project balances reported in section A?</t>
  </si>
  <si>
    <t xml:space="preserve">Is the Charter a part of another financial reporting entity (e.g., a larger nonprofit organization) with resources that are not reflected in the project balances reported in Section A? </t>
  </si>
  <si>
    <t xml:space="preserve">     Total federal and State projects (lines 18 and 32)</t>
  </si>
  <si>
    <t xml:space="preserve">     Total State projects (lines 20-31)</t>
  </si>
  <si>
    <t>A. Project balance amounts and planned uses</t>
  </si>
  <si>
    <t>Total project balance (should agree to amount on line 2)</t>
  </si>
  <si>
    <t>Does the Charter have a process or policy it follows to establish a targeted (goal) project balance reserve level that the Charter is working to maintain each year? (Yes or No in cell F26) If the Charter has an adopted Governing Board policy, enter the policy number in the box provided (cell G26).</t>
  </si>
  <si>
    <t>Arizona charter schools may operate in a variety ways including as a single school or as multiple school sites under 1 charter holder or charter management organization. A charter's operating structure may affect project balance decisions. The questions below are intended to provide clarifying information on a charter's operating format for users to consider when reviewing the specific project balance information reported on this page.</t>
  </si>
  <si>
    <t>This tab presents information on the amount and planned use of the Charter's project's balances to increase transparency and provide decision-makers, other stakeholders, and the public more complete financial information. It also presents information about policies or guidelines the Charter used to establish target project balance reserve amounts.</t>
  </si>
  <si>
    <t>Prior year ending project balance</t>
  </si>
  <si>
    <t>Current year ending project balance</t>
  </si>
  <si>
    <r>
      <t>This line pulls in current year ending balances from the Summar</t>
    </r>
    <r>
      <rPr>
        <sz val="10"/>
        <rFont val="Times New Roman"/>
        <family val="2"/>
      </rPr>
      <t>y tab for all projects.</t>
    </r>
  </si>
  <si>
    <t>Section A
Lines 3.c, through h</t>
  </si>
  <si>
    <t>Section B provides information about any process or policy the Charter uses to establish targeted (goal) project balance reserve amounts.</t>
  </si>
  <si>
    <t>Charters should use this space to describe any planned actions related to its project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</si>
  <si>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Federal and State projects, line 33</t>
  </si>
  <si>
    <t xml:space="preserve">Amounts for indirect costs, expenses, capital acquisitions, redemption of principal, and ending balance should agree with the Charter's completion reports filed with the ADE Grants Management Office. Manually enter in any amounts for reversions (monies returned to the grantor) and capital acquisitions and principal payments.
Do not include payments for depreciation or impairment expense.  
Report expenses related to monies remaining in Project 1457—Results-based Funding on line 31—Other State Projects, along with any other State project funds not included on lines 20 through 30 above.
  </t>
  </si>
  <si>
    <t>Report property disbursement, interest, and redemption of principal payments made in accordance with §15-977. Property disbursements should include payments for capital acquisitions, not including related capital lease or other debt service payments. Interest expenses will be charged to object code 6850. Redemption of principal should include payments for principal on leases and other long-term debt that reduced the related liability.</t>
  </si>
  <si>
    <t>(see Reserve balance tab for more detail)</t>
  </si>
  <si>
    <t>Page 1, line 21. 3200-Restricted revenues should be greater than or equal to total revenue amounts on pages 3-5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t>
  </si>
  <si>
    <t>Page 6, section C is not complete. Ensure all expenses for capital acquisitions are reported on page 6, section C, lines 1-6. If the Charter does not have any applicable capital acquisitions to report, enter a 0 on the line item(s) as applicable. Lines 1-6 cannot be left blank.</t>
  </si>
  <si>
    <t>Page 6, section E, current expenses table is not complete. Ensure current expenses reported on page 6, section E are accurate. Lines 1, 2, 3, and 5 cannot be 0 or left blank.</t>
  </si>
  <si>
    <t>Property disbursements should include actual payments made during the year for capital acquisitions, not including related finance lease or other debt service payments.  Property disbursements for nonfixed (movable) equipment in programs 100 through 600 should be allocated to functions 1000 through 4000 based on the intended use of the equipment.  All other property disbursements for these programs should be included in function 4000.</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</si>
  <si>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finance lease or other debt service payments. Total property disbursements in this table should equal the sum of property disbursements in the 2 preceding tables above. If no disbursements were made during the year, enter a 0 value in each line.</t>
  </si>
  <si>
    <t>Debt service amounts should include interest, redemption of principal, and other expenses  for programs 100-630. Interest should be expenses charged to object code 6850.  Redemption of principal should include payments made during the year for principal on finance leases and other long-term debt that were recorded as a reduction of the related liability. All other expenses coded within the 6800 object range, function 5000, should be included in line 6800 Other.</t>
  </si>
  <si>
    <t>The amounts in this column calculate automatically based on columns D, E, and F on each line. Any negative amounts, will be highlighted in yellow. To correct negative amounts in these cells, verify that spending reported in columns E through F does not exceed the total award reported in column D. All amounts entered into this form should be rounded to the nearest whole dollar. This column may also show negative amounts if cents are entered in the award or spending columns.
For further assistance with this issue, please contact the Auditor General's Accountability Services Division at (602) 977-2796 or email asd@azauditor.gov.</t>
  </si>
  <si>
    <t>Charters must manually enter total award and spending information for the various COVID-19 grants listed in lines 1 through 6 of this table. Charters can refer to the Auditor General's COVID-19 Spending Special Report Followup, Dashboard B, for previously reported grant award and prior years' spending information, when completing this table. Detailed instructions regarding the amounts that should be included in each row and column are included below.</t>
  </si>
  <si>
    <t>Classroom Site Project (from page 3, lines 6 and 8)</t>
  </si>
  <si>
    <t>Federal and State Projects (from page 8, line 33)</t>
  </si>
  <si>
    <t>(1)  Include the value of USDA Commodities on this line (excluding freight), as well as cash received from the USDA instead of commodities.</t>
  </si>
  <si>
    <t xml:space="preserve">     [This amount will be used to determine charter compliance with State matching requirements pursuant to CFR Title 7, §210.17(a).]</t>
  </si>
  <si>
    <t>E.  State Equalization Assistance expended for food service, function 3100</t>
  </si>
  <si>
    <t xml:space="preserve">     Number of 1/2 pint milk units served to children</t>
  </si>
  <si>
    <t>D.  Special Milk Program</t>
  </si>
  <si>
    <t xml:space="preserve">           </t>
  </si>
  <si>
    <t xml:space="preserve">      Total  (must equal total on line 11 above)</t>
  </si>
  <si>
    <t xml:space="preserve">     6. Paid snack</t>
  </si>
  <si>
    <t xml:space="preserve">      Other</t>
  </si>
  <si>
    <t xml:space="preserve">     5. Paid lunch</t>
  </si>
  <si>
    <t xml:space="preserve">      Management fee</t>
  </si>
  <si>
    <t xml:space="preserve">     4. Paid breakfast</t>
  </si>
  <si>
    <t xml:space="preserve">      Food</t>
  </si>
  <si>
    <t xml:space="preserve">     3. Reduced snack</t>
  </si>
  <si>
    <t xml:space="preserve">      Supplies and materials (nonfood)</t>
  </si>
  <si>
    <t xml:space="preserve">     2. Reduced lunch</t>
  </si>
  <si>
    <t xml:space="preserve">      Employee benefits</t>
  </si>
  <si>
    <t xml:space="preserve">     1. Reduced breakfast</t>
  </si>
  <si>
    <t xml:space="preserve">      Classified salaries</t>
  </si>
  <si>
    <t>Adult</t>
  </si>
  <si>
    <t>7-8</t>
  </si>
  <si>
    <t>K-6</t>
  </si>
  <si>
    <t>C.  Meal prices</t>
  </si>
  <si>
    <t>G.  Detail of food service management company expenses</t>
  </si>
  <si>
    <t>* Divide all revenues from a la carte sales by the free lunch reimbursement rate received.</t>
  </si>
  <si>
    <t xml:space="preserve">    c. Other</t>
  </si>
  <si>
    <t xml:space="preserve">    b. Program adults/adult workers</t>
  </si>
  <si>
    <t>F.  Cash balances</t>
  </si>
  <si>
    <t xml:space="preserve">    a. Reimbursable meals only</t>
  </si>
  <si>
    <t>2. Served at other locations</t>
  </si>
  <si>
    <t>Total expenses (lines 7-20)</t>
  </si>
  <si>
    <t>0196 Equipment</t>
  </si>
  <si>
    <t>0190 Capital assets (excluding 0196)</t>
  </si>
  <si>
    <t>1. Served at charter school locations</t>
  </si>
  <si>
    <t>6800 Other expenses (excluding food service mgt. fees)</t>
  </si>
  <si>
    <t>B.  Number of meals served</t>
  </si>
  <si>
    <t>6633 Other food</t>
  </si>
  <si>
    <t>Snacks</t>
  </si>
  <si>
    <t>A la carte*</t>
  </si>
  <si>
    <t>Lunches/suppers</t>
  </si>
  <si>
    <t>Breakfasts</t>
  </si>
  <si>
    <t>6632 USDA commodities (freight only)</t>
  </si>
  <si>
    <t>6631 USDA commodities (excluding freight)</t>
  </si>
  <si>
    <t>A.  Number of operating months</t>
  </si>
  <si>
    <t>6620 Energy</t>
  </si>
  <si>
    <t>6610 General supplies (nonfood items)</t>
  </si>
  <si>
    <t>Total revenue (lines 1-5)</t>
  </si>
  <si>
    <t>6591 Services purchased from other AZ schools or districts</t>
  </si>
  <si>
    <t>4900 Revenue for/on behalf of the school (1)</t>
  </si>
  <si>
    <t xml:space="preserve">6570 Food service management </t>
  </si>
  <si>
    <t xml:space="preserve">          from the federal government through the State</t>
  </si>
  <si>
    <t>6530 Communications</t>
  </si>
  <si>
    <t>4500 Restricted revenue (reimbursement) received</t>
  </si>
  <si>
    <t>6400 Purchased property services</t>
  </si>
  <si>
    <t>1900 Other revenues and gains from local sources</t>
  </si>
  <si>
    <t xml:space="preserve">6200 Personal services—employee benefits </t>
  </si>
  <si>
    <t>1600 Food service</t>
  </si>
  <si>
    <t xml:space="preserve">6100 Personal services—salaries </t>
  </si>
  <si>
    <t>Food Service</t>
  </si>
  <si>
    <t>Report the breakdown of expenses related to the use of a food service management company. The total reported in this table must agree with the amount on line 11.</t>
  </si>
  <si>
    <t>Report the number of half-pint units served to children.</t>
  </si>
  <si>
    <t>Report the charge to children and adults as indicated. Please enter zeros if no charge applies.</t>
  </si>
  <si>
    <t>Report snack meals served after the school day has ended, typically for the purposes of an approved After School Care Snack Program, in this column.</t>
  </si>
  <si>
    <t>Report any food items sold that are not appropriate to include in the breakfast, lunch/supper, or snack column in the a la carte column. Report these as equivalent meal counts by totaling the dollar amount of such sales, and dividing by the free lunch reimbursement rate.</t>
  </si>
  <si>
    <t xml:space="preserve">A la carte </t>
  </si>
  <si>
    <t>Report lunch meals served during an established lunch period, typically for the purposes of an approved USDA National School Lunch Program, in this column. Report supper meals served in the evening for the purposes of an approved USDA Summer Food Service Program, if applicable, in this column.</t>
  </si>
  <si>
    <t>Report breakfast meals served during an established breakfast period, typically for the purposes of an approved USDA School Breakfast Program, in this column.</t>
  </si>
  <si>
    <t>Report the number of all other meals served that were not eligible to be included on lines a or b, including non-program adults.</t>
  </si>
  <si>
    <t>Report the number of meals served to program adults and adult food service workers.</t>
  </si>
  <si>
    <t>Program adults/adult workers</t>
  </si>
  <si>
    <t>Report the number of reimbursable meals served.</t>
  </si>
  <si>
    <t>Reimbursable meals only</t>
  </si>
  <si>
    <t>Meals served at the charter school should include all meals served on the school's premises. Meals served at other locations should include meals served at nearby district schools, private schools, or other charter schools.</t>
  </si>
  <si>
    <t>Report the number of months the Charter's food service program was in session.</t>
  </si>
  <si>
    <t>Report the cost of furniture/equipment or vehicles/transportation equipment purchased for the benefit of the food service program. The items must also have a unit cost of at least $50 and have a useful life of 1 year or more. Items reported here include, but are not limited to, chairs, tables, mixers, and vehicles and equipment used to transport food.</t>
  </si>
  <si>
    <t>0196—Equipment</t>
  </si>
  <si>
    <t>0190—Capital assets (excluding 0196)</t>
  </si>
  <si>
    <t>6800—Other expenses (excluding food service management fees)</t>
  </si>
  <si>
    <t>6633—Other food</t>
  </si>
  <si>
    <t>6632—USDA commodities (freight only)</t>
  </si>
  <si>
    <t>https://www.azed.gov/sites/default/files/2022/09/How%20to%20Complete%20USDA%20Foods%20AFR%20Calculations.pdf</t>
  </si>
  <si>
    <t>6631—USDA commodities (excluding freight)</t>
  </si>
  <si>
    <t>6620—Energy</t>
  </si>
  <si>
    <t>6610—General supplies (nonfood items)</t>
  </si>
  <si>
    <t>Report payments to another school or district within the State for services rendered related to the food service program.</t>
  </si>
  <si>
    <t>6591—Services purchased from other Arizona schools or districts</t>
  </si>
  <si>
    <t>6570—Food service management</t>
  </si>
  <si>
    <t>6530—Communications</t>
  </si>
  <si>
    <t xml:space="preserve">Report the cost of services purchased to rent property or equipment, or to operate, repair, and maintain property owned, rented, or used by the Charter. </t>
  </si>
  <si>
    <t xml:space="preserve">6400—Purchased property services </t>
  </si>
  <si>
    <t>Report the portion of employee benefit expenses for personnel whose salaries have been reported on line 7.</t>
  </si>
  <si>
    <t>6200—Personal services—employee benefits</t>
  </si>
  <si>
    <t>6100—Personal services—salaries</t>
  </si>
  <si>
    <t>4900—Revenue for/on behalf of the school</t>
  </si>
  <si>
    <t>4500—Restricted revenue (reimbursement) received from the federal government through the State</t>
  </si>
  <si>
    <t xml:space="preserve">Report other revenue from local sources not classified elsewhere, including rentals and contributions. </t>
  </si>
  <si>
    <t>1900—Other revenues and gains from local sources</t>
  </si>
  <si>
    <t>1600—Food service</t>
  </si>
  <si>
    <t>Report the amount of interest earned on Food Service cash, investments, and receivables, if applicable.</t>
  </si>
  <si>
    <t>1500—Earnings on investments</t>
  </si>
  <si>
    <t>Adjusted beginning project balance</t>
  </si>
  <si>
    <t>Section F—Number of 
full-time equivalent teachers</t>
  </si>
  <si>
    <t>Adjusted beginning balance</t>
  </si>
  <si>
    <r>
      <t xml:space="preserve">Report the revenue for dispensing food to students and adults, including School Lunch, Regular and Severe Need Breakfast, Special Milk, Reimbursable After School Care Snack, Summer Food, and Child Care Food Programs. This line should include </t>
    </r>
    <r>
      <rPr>
        <b/>
        <sz val="10"/>
        <rFont val="Times New Roman"/>
        <family val="1"/>
      </rPr>
      <t>any</t>
    </r>
    <r>
      <rPr>
        <sz val="10"/>
        <rFont val="Times New Roman"/>
        <family val="1"/>
      </rPr>
      <t xml:space="preserve"> revenue received for the Food Service Program that cannot be attributed to </t>
    </r>
    <r>
      <rPr>
        <b/>
        <sz val="10"/>
        <rFont val="Times New Roman"/>
        <family val="1"/>
      </rPr>
      <t xml:space="preserve">any </t>
    </r>
    <r>
      <rPr>
        <sz val="10"/>
        <rFont val="Times New Roman"/>
        <family val="1"/>
      </rPr>
      <t xml:space="preserve">other revenue line. </t>
    </r>
    <r>
      <rPr>
        <b/>
        <sz val="10"/>
        <rFont val="Times New Roman"/>
        <family val="1"/>
      </rPr>
      <t>Do not include federal reimbursements here, include them on line 4.</t>
    </r>
  </si>
  <si>
    <r>
      <t>Report the value of United States Department of Agriculture (USDA) commodities the Charter received on this line, using the value as set by ADE based on the</t>
    </r>
    <r>
      <rPr>
        <i/>
        <sz val="10"/>
        <rFont val="Times New Roman"/>
        <family val="1"/>
      </rPr>
      <t xml:space="preserve"> November 15th USDA Commodity Pricing Report</t>
    </r>
    <r>
      <rPr>
        <sz val="10"/>
        <rFont val="Times New Roman"/>
        <family val="1"/>
      </rPr>
      <t xml:space="preserve">, </t>
    </r>
    <r>
      <rPr>
        <b/>
        <sz val="10"/>
        <rFont val="Times New Roman"/>
        <family val="1"/>
      </rPr>
      <t>excluding freight</t>
    </r>
    <r>
      <rPr>
        <sz val="10"/>
        <rFont val="Times New Roman"/>
        <family val="1"/>
      </rPr>
      <t xml:space="preserve">. Cash in Lieu of Commodities must also be reported by charter schools receiving cash funds from the USDA Food Distribution </t>
    </r>
    <r>
      <rPr>
        <b/>
        <sz val="10"/>
        <rFont val="Times New Roman"/>
        <family val="1"/>
      </rPr>
      <t>instead</t>
    </r>
    <r>
      <rPr>
        <sz val="10"/>
        <rFont val="Times New Roman"/>
        <family val="2"/>
      </rPr>
      <t xml:space="preserve"> </t>
    </r>
    <r>
      <rPr>
        <sz val="10"/>
        <rFont val="Times New Roman"/>
        <family val="1"/>
      </rPr>
      <t>of commodities.</t>
    </r>
  </si>
  <si>
    <r>
      <rPr>
        <sz val="10"/>
        <rFont val="Times New Roman"/>
        <family val="1"/>
      </rPr>
      <t>Report the salaries for all personnel whose job function is attributed to food service.</t>
    </r>
    <r>
      <rPr>
        <b/>
        <sz val="10"/>
        <rFont val="Times New Roman"/>
        <family val="1"/>
      </rPr>
      <t xml:space="preserve"> For employees performing more than one job function, report only the portion related to food service tasks.</t>
    </r>
  </si>
  <si>
    <r>
      <t xml:space="preserve">Report costs for services provided to assist in transmitting and receiving messages or information related to the food service program </t>
    </r>
    <r>
      <rPr>
        <b/>
        <sz val="10"/>
        <rFont val="Times New Roman"/>
        <family val="1"/>
      </rPr>
      <t>only</t>
    </r>
    <r>
      <rPr>
        <sz val="10"/>
        <rFont val="Times New Roman"/>
        <family val="1"/>
      </rPr>
      <t xml:space="preserve">. This category includes telephone, facsimile services, and postage. </t>
    </r>
    <r>
      <rPr>
        <b/>
        <sz val="10"/>
        <rFont val="Times New Roman"/>
        <family val="1"/>
      </rPr>
      <t>Do not</t>
    </r>
    <r>
      <rPr>
        <sz val="10"/>
        <rFont val="Times New Roman"/>
        <family val="1"/>
      </rPr>
      <t xml:space="preserve"> claim telephone or facsimile expenses unless there are separate phone lines for the food service area. </t>
    </r>
  </si>
  <si>
    <r>
      <t xml:space="preserve">If the Charter contracted with a Food Service Management Company (FSMC), report the total amount charged by the FSMC on this line and </t>
    </r>
    <r>
      <rPr>
        <b/>
        <sz val="10"/>
        <rFont val="Times New Roman"/>
        <family val="1"/>
      </rPr>
      <t>complete the table in section G.</t>
    </r>
  </si>
  <si>
    <r>
      <t xml:space="preserve">Report the cost of purchasing </t>
    </r>
    <r>
      <rPr>
        <b/>
        <sz val="10"/>
        <rFont val="Times New Roman"/>
        <family val="1"/>
      </rPr>
      <t>all</t>
    </r>
    <r>
      <rPr>
        <sz val="10"/>
        <rFont val="Times New Roman"/>
        <family val="1"/>
      </rPr>
      <t xml:space="preserve"> supplies for the operation of the food service program, including freight and tax. </t>
    </r>
    <r>
      <rPr>
        <b/>
        <sz val="10"/>
        <rFont val="Times New Roman"/>
        <family val="1"/>
      </rPr>
      <t>Do not</t>
    </r>
    <r>
      <rPr>
        <sz val="10"/>
        <rFont val="Times New Roman"/>
        <family val="1"/>
      </rPr>
      <t xml:space="preserve"> report any food purchases on this line. </t>
    </r>
  </si>
  <si>
    <r>
      <t xml:space="preserve">Report the cost for utilities (electric, gas, etc.) on this line if there are separate utility meters for the food service area. If one meter serves the cafeteria and classrooms for instance, the utilities expense will be computed as an indirect cost. A 10 percent indirect cost rate will be used for non-district-sponsored charter schools. </t>
    </r>
    <r>
      <rPr>
        <b/>
        <sz val="10"/>
        <rFont val="Times New Roman"/>
        <family val="1"/>
      </rPr>
      <t>Do not report prorated utility bills.</t>
    </r>
  </si>
  <si>
    <r>
      <t xml:space="preserve">Report the value of donated USDA commodities, using the value as set by ADE based on the </t>
    </r>
    <r>
      <rPr>
        <i/>
        <sz val="10"/>
        <rFont val="Times New Roman"/>
        <family val="1"/>
      </rPr>
      <t>November 15th USDA Commodity Pricing Report</t>
    </r>
    <r>
      <rPr>
        <sz val="10"/>
        <rFont val="Times New Roman"/>
        <family val="1"/>
      </rPr>
      <t xml:space="preserve">, excluding freight charges. </t>
    </r>
    <r>
      <rPr>
        <b/>
        <sz val="10"/>
        <rFont val="Times New Roman"/>
        <family val="1"/>
      </rPr>
      <t>Do not include storage and processing charges in this amount</t>
    </r>
    <r>
      <rPr>
        <sz val="10"/>
        <rFont val="Times New Roman"/>
        <family val="1"/>
      </rPr>
      <t>. This amount should equal the value of USDA commodities included on revenue line 5</t>
    </r>
    <r>
      <rPr>
        <b/>
        <sz val="10"/>
        <rFont val="Times New Roman"/>
        <family val="1"/>
      </rPr>
      <t xml:space="preserve">. 
HNS has provided additional guidance on where to obtain the expense amounts to be reported for USDA Commodities at the link below:
</t>
    </r>
  </si>
  <si>
    <r>
      <t>Report the cost of freight for USDA commodities only. Storage charges for USDA commodities are reported on line 18</t>
    </r>
    <r>
      <rPr>
        <sz val="10"/>
        <rFont val="Times New Roman"/>
        <family val="2"/>
      </rPr>
      <t>.</t>
    </r>
  </si>
  <si>
    <r>
      <t xml:space="preserve">Report </t>
    </r>
    <r>
      <rPr>
        <b/>
        <sz val="10"/>
        <rFont val="Times New Roman"/>
        <family val="1"/>
      </rPr>
      <t>all</t>
    </r>
    <r>
      <rPr>
        <sz val="10"/>
        <rFont val="Times New Roman"/>
        <family val="1"/>
      </rPr>
      <t xml:space="preserve"> food purchases on this line </t>
    </r>
    <r>
      <rPr>
        <b/>
        <sz val="10"/>
        <rFont val="Times New Roman"/>
        <family val="1"/>
      </rPr>
      <t>except</t>
    </r>
    <r>
      <rPr>
        <sz val="10"/>
        <rFont val="Times New Roman"/>
        <family val="1"/>
      </rPr>
      <t xml:space="preserve"> USDA commodities. Also report USDA commodities processing charges and the purchase of food with minimal nutritional value on this line.</t>
    </r>
  </si>
  <si>
    <r>
      <t xml:space="preserve">Report all </t>
    </r>
    <r>
      <rPr>
        <b/>
        <sz val="10"/>
        <rFont val="Times New Roman"/>
        <family val="1"/>
      </rPr>
      <t>other</t>
    </r>
    <r>
      <rPr>
        <sz val="10"/>
        <rFont val="Times New Roman"/>
        <family val="1"/>
      </rPr>
      <t xml:space="preserve"> expenses related to the food service program not recorded elsewhere, such as interest on revolving lines of credit, capital leases, etc., on this line. Also, report USDA commodities storage charges on this line. </t>
    </r>
  </si>
  <si>
    <r>
      <t xml:space="preserve">Report the purchase of capital items for the food service area </t>
    </r>
    <r>
      <rPr>
        <b/>
        <sz val="10"/>
        <rFont val="Times New Roman"/>
        <family val="1"/>
      </rPr>
      <t>other</t>
    </r>
    <r>
      <rPr>
        <sz val="10"/>
        <rFont val="Times New Roman"/>
        <family val="1"/>
      </rPr>
      <t xml:space="preserve"> than furniture/equipment and vehicles/transportation equipment. The items purchased under this object code must have a unit cost of at least $5,000 and/or have a life expectancy of 1 year or more. Included on this line would be expenses of at least $5,000 for making improvements to the interior of an existing building. </t>
    </r>
    <r>
      <rPr>
        <b/>
        <sz val="10"/>
        <rFont val="Times New Roman"/>
        <family val="1"/>
      </rPr>
      <t>Food Service monies may not be used to buy land or buildings or erect buildings.</t>
    </r>
  </si>
  <si>
    <r>
      <t xml:space="preserve">Report the amount of State Equalization Assistance spent for food service. This amount will be used to determine charter compliance with the State Matching Requirement pursuant to Code of Federal Regulations Title 7, </t>
    </r>
    <r>
      <rPr>
        <sz val="10"/>
        <rFont val="Calibri"/>
        <family val="2"/>
      </rPr>
      <t>§</t>
    </r>
    <r>
      <rPr>
        <sz val="10"/>
        <rFont val="Times New Roman"/>
        <family val="1"/>
      </rPr>
      <t>210.17(a).</t>
    </r>
  </si>
  <si>
    <t>Complete the Cover, School listing, and Accounting data tabs first. See instructions.</t>
  </si>
  <si>
    <t>G. Detail of food service management company expenses</t>
  </si>
  <si>
    <t>F. Cash balances</t>
  </si>
  <si>
    <t>E. State Equalization Assistance expended for food service, function 3100</t>
  </si>
  <si>
    <t>D. Special milk program</t>
  </si>
  <si>
    <t>C. Meal prices</t>
  </si>
  <si>
    <t>A. Number of operating months</t>
  </si>
  <si>
    <t>B. Number of meals served</t>
  </si>
  <si>
    <t xml:space="preserve">    1910 Rentals</t>
  </si>
  <si>
    <t xml:space="preserve">    1950 Miscellaneous Revenues from Other Schools or Districts</t>
  </si>
  <si>
    <t xml:space="preserve">    1960 Miscellaneous Revenues from Local Governmental Units</t>
  </si>
  <si>
    <t>1910-Rentals</t>
  </si>
  <si>
    <t>1950-Miscellaneous Revenues from Other Schools or Districts</t>
  </si>
  <si>
    <t>1960-Miscellaneous Revenues from Local Governmental Units</t>
  </si>
  <si>
    <t>Charter website link of posted AFR</t>
  </si>
  <si>
    <t>Charter website link</t>
  </si>
  <si>
    <t xml:space="preserve">Charters must assign expenses for Project 1071—English Language Learner and Project 1072—Compensatory Instruction to the following program codes, as applicable, to automatically populate on page 5:
•260—English Language Learners incremental costs
•430—Pupil transportation-ELL incremental costs
•265—English Language Learners compensatory instruction
•435—Pupil transportation-ELL compensatory instruction
Other Federal Projects 1310-1399 must be identified as COVID-19 and non-COVID-19 related projects. 
Expenses for function 2700—student transportation must be coded to program codes, as applicable, to automatically populate on page 2, line 29:
•400—Pupil transportation
•430—Pupil transportation-ELL incremental costs
•435—Pupil transportation-ELL compensatory instruction 
Data with improper codes will highlight yellow. The form should not have any yellow highlighted cells when submitted. </t>
  </si>
  <si>
    <t xml:space="preserve">   1.  Function 2220-Improvement of instruction (in objects 6300-6490, 6530-6550, 6580, 6600-6620, 6640-6650, 0196 disbursements, 6740, 6810, and 6890)</t>
  </si>
  <si>
    <t xml:space="preserve">   2.  Function 2230-Library/media Services (in objects 6300-6490, 6530-6550, 6580, 6600-6620, 6640-6650, 0196 disbursements, 6740, 6810, and 6890)</t>
  </si>
  <si>
    <r>
      <t xml:space="preserve">If the AFR is not submitted by October 15, reimbursements for child nutrition will be withheld until an accurate and </t>
    </r>
    <r>
      <rPr>
        <b/>
        <sz val="10"/>
        <rFont val="Times New Roman"/>
        <family val="1"/>
      </rPr>
      <t>complete</t>
    </r>
    <r>
      <rPr>
        <sz val="10"/>
        <rFont val="Times New Roman"/>
        <family val="1"/>
      </rPr>
      <t xml:space="preserve"> AFR is submitted. 
Report only those revenues and expenditures that are attributable to the operation of the Food Service Program. Documentation must be available for all information on this report. If you have any questions about the Food Service Program only, please contact Health &amp; Nutrition Services (HNS) at (602) 542-8700. </t>
    </r>
    <r>
      <rPr>
        <b/>
        <sz val="10"/>
        <rFont val="Times New Roman"/>
        <family val="1"/>
      </rPr>
      <t>Note: Charters that do not participate in the National School Lunch Program do not need to complete this tab.</t>
    </r>
  </si>
  <si>
    <t>1900, 1930, 1980, 1990-Other revenues and gains from local sources</t>
  </si>
  <si>
    <t xml:space="preserve">    1900, 1930, 1980, 1990 Other revenues and gains from local sources</t>
  </si>
  <si>
    <t>Support services-instruction detail (Programs 100-630, excluding 400)</t>
  </si>
  <si>
    <t xml:space="preserve">   1.  Object 6640, functions 1000 and 2230</t>
  </si>
  <si>
    <t>Charters that maintain a website must provide a link on their website to ADE’s website where the Charter’s AFR can be viewed. See the Submission and Publication document for detailed steps to obtain the link from ADE's website. Charters should paste a clickable link on the Cover tab to their school web page where the AFR link was posted.</t>
  </si>
  <si>
    <t>ADE no longer requires schools to send an email to School Finance with a clickable link to its website, if the link is provided in this space.</t>
  </si>
  <si>
    <t>FY 2025</t>
  </si>
  <si>
    <t>We, the Governing Board of the Charter School, hereby certify the Annual Financial Report and School Level Reporting form per A.R.S. §§15-183(E)(6) and 15-904 for Fiscal Year 2025.</t>
  </si>
  <si>
    <t xml:space="preserve">The annual financial report file(s) for FY 2025 uploaded to the Arizona Department of </t>
  </si>
  <si>
    <t xml:space="preserve">    1600  Food service (from Food Service tab, line 2)</t>
  </si>
  <si>
    <t xml:space="preserve">      Total Local Revenue (lines 1-16)</t>
  </si>
  <si>
    <t xml:space="preserve">      Total Intermediate Revenue (lines 18-20)</t>
  </si>
  <si>
    <t xml:space="preserve">      Total State Revenue (lines 22-26)</t>
  </si>
  <si>
    <t xml:space="preserve">      Total Federal Revenue (lines 28-33)</t>
  </si>
  <si>
    <t>Total revenue from all sources (lines 17, 21, 27, and 34)</t>
  </si>
  <si>
    <r>
      <t>Total revenues (lines 1</t>
    </r>
    <r>
      <rPr>
        <sz val="10"/>
        <rFont val="Times New Roman"/>
        <family val="1"/>
      </rPr>
      <t>2</t>
    </r>
    <r>
      <rPr>
        <sz val="10"/>
        <rFont val="Times New Roman"/>
        <family val="2"/>
      </rPr>
      <t xml:space="preserve"> and 1</t>
    </r>
    <r>
      <rPr>
        <sz val="10"/>
        <rFont val="Times New Roman"/>
        <family val="1"/>
      </rPr>
      <t>3</t>
    </r>
    <r>
      <rPr>
        <sz val="10"/>
        <rFont val="Times New Roman"/>
        <family val="2"/>
      </rPr>
      <t>)</t>
    </r>
  </si>
  <si>
    <r>
      <t xml:space="preserve">Total available (lines 10 </t>
    </r>
    <r>
      <rPr>
        <sz val="10"/>
        <rFont val="Times New Roman"/>
        <family val="1"/>
      </rPr>
      <t>or 11,</t>
    </r>
    <r>
      <rPr>
        <sz val="10"/>
        <rFont val="Times New Roman"/>
        <family val="2"/>
      </rPr>
      <t xml:space="preserve"> and 1</t>
    </r>
    <r>
      <rPr>
        <sz val="10"/>
        <rFont val="Times New Roman"/>
        <family val="1"/>
      </rPr>
      <t>4</t>
    </r>
    <r>
      <rPr>
        <sz val="10"/>
        <rFont val="Times New Roman"/>
        <family val="2"/>
      </rPr>
      <t>)</t>
    </r>
  </si>
  <si>
    <r>
      <t>Expenses (</t>
    </r>
    <r>
      <rPr>
        <sz val="10"/>
        <rFont val="Cambria"/>
        <family val="1"/>
      </rPr>
      <t>from lines 6, 7, 8, and 9</t>
    </r>
    <r>
      <rPr>
        <sz val="10"/>
        <rFont val="Times New Roman"/>
        <family val="2"/>
      </rPr>
      <t>)</t>
    </r>
  </si>
  <si>
    <r>
      <t>Ending project balance (line 1</t>
    </r>
    <r>
      <rPr>
        <sz val="10"/>
        <rFont val="Times New Roman"/>
        <family val="1"/>
      </rPr>
      <t>5</t>
    </r>
    <r>
      <rPr>
        <sz val="10"/>
        <rFont val="Times New Roman"/>
        <family val="2"/>
      </rPr>
      <t xml:space="preserve"> minus line 1</t>
    </r>
    <r>
      <rPr>
        <sz val="10"/>
        <rFont val="Times New Roman"/>
        <family val="1"/>
      </rPr>
      <t>6</t>
    </r>
    <r>
      <rPr>
        <sz val="10"/>
        <rFont val="Times New Roman"/>
        <family val="2"/>
      </rPr>
      <t xml:space="preserve">) </t>
    </r>
  </si>
  <si>
    <t>Total available (lines 6 or 7, and 8)</t>
  </si>
  <si>
    <t>Ending project balance  (line 9 minus line 10)</t>
  </si>
  <si>
    <t>July 1, 2024</t>
  </si>
  <si>
    <t>June 30, 2025</t>
  </si>
  <si>
    <t>Check box if the Charter was new and began operations in FY 2025.</t>
  </si>
  <si>
    <t>Average salary of all teachers employed in FY 2025</t>
  </si>
  <si>
    <t>Average salary of all teachers employed in FY 2024</t>
  </si>
  <si>
    <t>Increase in average teacher salary from FY 2024</t>
  </si>
  <si>
    <t xml:space="preserve">     1. Long-term debt outstanding, July 1, 2024</t>
  </si>
  <si>
    <t xml:space="preserve">     2. Long-term debt issued during FY 2025</t>
  </si>
  <si>
    <t xml:space="preserve">     3. Long-term debt retired during FY 2025</t>
  </si>
  <si>
    <t xml:space="preserve">     4. Long-term debt outstanding, June 30, 2025</t>
  </si>
  <si>
    <t xml:space="preserve">     5. Short-term debt outstanding, July 1, 2024</t>
  </si>
  <si>
    <t xml:space="preserve">     6. Short-term debt outstanding, June 30, 2025</t>
  </si>
  <si>
    <t>Investment in capital assets as of June 30, 2025</t>
  </si>
  <si>
    <t>Cash and investments held at June 30, 2025</t>
  </si>
  <si>
    <t>FY 2020 through 
FY 2024
Expenses and other financing uses</t>
  </si>
  <si>
    <t>FY 2025
Expenses and other financing uses</t>
  </si>
  <si>
    <t>7/1/2024</t>
  </si>
  <si>
    <t>6/30/2025</t>
  </si>
  <si>
    <t>2024</t>
  </si>
  <si>
    <t>2025</t>
  </si>
  <si>
    <t>The total reserve balance for FY 2025 is:</t>
  </si>
  <si>
    <t>FY 2024 ending project balance</t>
  </si>
  <si>
    <t>FY 2025 ending project balance</t>
  </si>
  <si>
    <t>Planned to be spent in FY 2026 to support budgeted spending</t>
  </si>
  <si>
    <r>
      <t xml:space="preserve">Maintained for debt retirement </t>
    </r>
    <r>
      <rPr>
        <u/>
        <sz val="10"/>
        <rFont val="Times New Roman"/>
        <family val="1"/>
      </rPr>
      <t>after</t>
    </r>
    <r>
      <rPr>
        <sz val="10"/>
        <rFont val="Times New Roman"/>
        <family val="1"/>
      </rPr>
      <t xml:space="preserve"> FY 2026</t>
    </r>
  </si>
  <si>
    <r>
      <t xml:space="preserve">Maintained for capital projects </t>
    </r>
    <r>
      <rPr>
        <u/>
        <sz val="10"/>
        <rFont val="Times New Roman"/>
        <family val="1"/>
      </rPr>
      <t>after</t>
    </r>
    <r>
      <rPr>
        <sz val="10"/>
        <rFont val="Times New Roman"/>
        <family val="1"/>
      </rPr>
      <t xml:space="preserve"> FY 2026</t>
    </r>
  </si>
  <si>
    <r>
      <t xml:space="preserve">Maintained for retirement contributions </t>
    </r>
    <r>
      <rPr>
        <u/>
        <sz val="10"/>
        <rFont val="Times New Roman"/>
        <family val="1"/>
      </rPr>
      <t>after</t>
    </r>
    <r>
      <rPr>
        <sz val="10"/>
        <rFont val="Times New Roman"/>
        <family val="1"/>
      </rPr>
      <t xml:space="preserve"> FY 2026</t>
    </r>
  </si>
  <si>
    <t>FY 2025 ending project balance details:</t>
  </si>
  <si>
    <t>If question 1 was answered yes, complete the table below to describe the Charter's specific FY 2025 targeted and actual project balance reserve amounts and methods used to establish those targeted balance reserve amounts.</t>
  </si>
  <si>
    <t xml:space="preserve">Targeted FY 2025 project balance reserve amount </t>
  </si>
  <si>
    <t xml:space="preserve">Actual FY 2025 project balance reserve amount </t>
  </si>
  <si>
    <t>The Charter plans to take the following actions related to its ending project balance in FY 2026 and thereafter:</t>
  </si>
  <si>
    <r>
      <t xml:space="preserve">All actual revenues, expenses, and account balances presented on the AFR must agree with the Charter's accounting records as of June 30, 2025. Revenue and expense account codes used in the AFR agree with the </t>
    </r>
    <r>
      <rPr>
        <i/>
        <sz val="10"/>
        <rFont val="Times New Roman"/>
        <family val="1"/>
      </rPr>
      <t>Uniform System of Financial Records for Arizona Charter Schools</t>
    </r>
    <r>
      <rPr>
        <sz val="10"/>
        <rFont val="Times New Roman"/>
        <family val="1"/>
      </rPr>
      <t xml:space="preserve"> (USFRCS) Chart of Accounts. Charters that are exempted from all or part of the USFRCS in accordance with A.R.S. §15-183(E)(6) must use an accounting system that allows them to report financial data in the AFR standard expense types and functional uses. See the USFRCS Chart of Accounts for more information on project, function, and object codes and descriptions at https://www.azauditor.gov/reports-publications/charter-schools/manuals-memorandums.  Charters should ensure their budget amounts agree to their most recently revised or adopted FY 2025 budget that was submitted to ADE.           
Revenues must include cash receipts through June 30, 2025, and accrued revenues received after the end of the fiscal year. Examples of accrued revenues are cost reimbursement and entitlement programs, interest earned on investments, and FY 2025 Classroom Site Project revenues.         
Expenses consist of all expenses incurred during the fiscal year, including expenses for goods and services received on or before June 30, 2025, but not paid for by that date. Examples of items requiring such treatment are included in the USFRCS, pages VI-G-8 and 9.</t>
    </r>
  </si>
  <si>
    <t xml:space="preserve">Enter school-level information for each school within the Charter including school names, school CTDS numbers, and unweighted attending student counts. As school names are added to the tab, the primary unit code cell for that school will shade red until a primary unit code is entered, as described below. The CTDS numbers in column C should not contain any slashes, dashes, etc., and must be exactly 9 digits. Use 100th-day (or 200th-day) student counts to report each school's unweighted attending student count in column D. Charters can refer to BSA-21 Report.
Enter the applicable unit code(s) in column E used to code expenses at the school level for each school, as well as the unit code(s) used to code expenses to the Charter and private schools. If more than one unit code was used for a school, separate each unit code with a comma. For example (100, 101, 102). 
Charters must assign a 3-digit primary unit code in column F for each school as this data will be used in the School-Level AFR. Formulas within the School-Level AFR are set to assign only one unit code to each school, charterwide, and private schools, if applicable. The comments column can be used for additional information to describe the unit codes and primary unit codes. </t>
  </si>
  <si>
    <t>Report all revenues the Charter received from dispensing food to students and adults. If the Charter participates in the National School Lunch Program and completed the Food Service AFR as required, this amount will populate from revenues, line 2 on the Food Service tab. If the Charter did not collect any revenue from students or adults for food service, enter a 0 value on the line.</t>
  </si>
  <si>
    <t>3200  Restricted,
line 24</t>
  </si>
  <si>
    <t>4100, 4300  Unrestricted/restricted received directly from the federal government, 
line 28</t>
  </si>
  <si>
    <t>Do not include federal impact aid revenues received on this line. These revenues should be reported on line 31 as 4800 federal impact aid.</t>
  </si>
  <si>
    <t>4200, 4500  Unrestricted/restricted received from the federal government through the State, line 29</t>
  </si>
  <si>
    <t>If an ending project balance is reported incorrectly on the FY 2024 AFR, charters should enter the correct amount in the adjusted beginning project balance row, line 11. Only enter amount on this line if the charter needs to adjust beginning project balance for any errors or audit adjustments identified in the charter's FY 2024 audit.</t>
  </si>
  <si>
    <t>If an ending project balance is reported incorrectly on the FY 2024 AFR, charters should enter the correct amount in the adjusted beginning project balance row, line 7. Only enter amount on this line if the charter needs to adjust beginning project balance for any errors or audit adjustments identified in the charter's FY 2024 audit.</t>
  </si>
  <si>
    <t>If an ending project balance is reported incorrectly on the FY 2024 AFR, charters should enter the correct amount in the adjusted beginning project balance column, lines 14 and 28. Lines that report amounts for multiple projects should enter a single amount for the calculated beginning project balance for all projects reported on that line. Only enter amount on these line if the charter needs to adjust beginning project balance for any errors or audit adjustments identified in the charter's FY 2024 audit.</t>
  </si>
  <si>
    <r>
      <t>Record amounts expended in FY 202</t>
    </r>
    <r>
      <rPr>
        <sz val="10"/>
        <rFont val="Times New Roman"/>
        <family val="1"/>
      </rPr>
      <t>5</t>
    </r>
    <r>
      <rPr>
        <sz val="10"/>
        <rFont val="Times New Roman"/>
        <family val="2"/>
      </rPr>
      <t xml:space="preserve"> for audit services. 
Nonfederal audit expense incurred in FY 202</t>
    </r>
    <r>
      <rPr>
        <sz val="10"/>
        <rFont val="Times New Roman"/>
        <family val="1"/>
      </rPr>
      <t>5</t>
    </r>
    <r>
      <rPr>
        <sz val="10"/>
        <rFont val="Times New Roman"/>
        <family val="2"/>
      </rPr>
      <t xml:space="preserve"> may be included on the budget for FY 202</t>
    </r>
    <r>
      <rPr>
        <sz val="10"/>
        <rFont val="Times New Roman"/>
        <family val="1"/>
      </rPr>
      <t>7</t>
    </r>
    <r>
      <rPr>
        <sz val="10"/>
        <rFont val="Times New Roman"/>
        <family val="2"/>
      </rPr>
      <t xml:space="preserve"> for reimbursement pursuant to A.R.S. </t>
    </r>
    <r>
      <rPr>
        <sz val="10"/>
        <rFont val="Calibri"/>
        <family val="2"/>
      </rPr>
      <t>§</t>
    </r>
    <r>
      <rPr>
        <sz val="10"/>
        <rFont val="Times New Roman"/>
        <family val="2"/>
      </rPr>
      <t>15-914.  In order to receive reimbursement in FY 202</t>
    </r>
    <r>
      <rPr>
        <sz val="10"/>
        <rFont val="Times New Roman"/>
        <family val="1"/>
      </rPr>
      <t>7</t>
    </r>
    <r>
      <rPr>
        <sz val="10"/>
        <rFont val="Times New Roman"/>
        <family val="2"/>
      </rPr>
      <t>, nonfederal audit expenses must be included in the FY 202</t>
    </r>
    <r>
      <rPr>
        <sz val="10"/>
        <rFont val="Times New Roman"/>
        <family val="1"/>
      </rPr>
      <t>5</t>
    </r>
    <r>
      <rPr>
        <sz val="10"/>
        <rFont val="Times New Roman"/>
        <family val="2"/>
      </rPr>
      <t xml:space="preserve"> AFR.  Amounts reported must be amounts actually spent in FY 202</t>
    </r>
    <r>
      <rPr>
        <sz val="10"/>
        <rFont val="Times New Roman"/>
        <family val="1"/>
      </rPr>
      <t>5</t>
    </r>
    <r>
      <rPr>
        <sz val="10"/>
        <rFont val="Times New Roman"/>
        <family val="2"/>
      </rPr>
      <t xml:space="preserve">.  </t>
    </r>
    <r>
      <rPr>
        <b/>
        <sz val="10"/>
        <rFont val="Times New Roman"/>
        <family val="1"/>
      </rPr>
      <t>Do not include the costs of consulting or other services paid to audit firms in the nonfederal or federal audit services actual expenses.</t>
    </r>
  </si>
  <si>
    <t>The total of budget and actual federal and State project expenses (project codes 1100 through 1499 on page 9) should be included on line 38.  The total of budgeted and actual expenses on line 38 should agree with the total of federal and State project expenses on line 33 of page 8.</t>
  </si>
  <si>
    <t xml:space="preserve">Enter the total increase in construction in progress for the year ended June 30, 2025.  This amount is not recorded on the capital assets list until the project is completed.  Therefore, it will not appear on the capital assets list as of June 30, 2025.
</t>
  </si>
  <si>
    <t>Enter the total cost of construction in progress as of June 30, 2025.  This amount is not recorded on the capital assets list as of June 30, 2025.</t>
  </si>
  <si>
    <t>Enter the average teacher salary of all teachers employed in FY 2025. Each charter should be consistent in the type of salary information included in this table from year to year, as similarly reported in the budget. An optional comment box is available to provide any additional detail regarding the average teacher salary calculation.  Ensure the average teacher salary amount reported for FY 2024 pulls correctly from the prior year AFR.</t>
  </si>
  <si>
    <t>If an ending project balance is reported incorrectly on the FY 2024 AFR, charters should enter the correct amount in the adjusted beginning project balance column, lines 1 through 31. Lines that report amounts for multiple projects should enter a single amount for the calculated beginning project balance for all projects reported on that line. Only enter amount on these line if the charter needs to adjust beginning project balance for any errors or audit adjustments identified in the charter's FY 2024 audit.</t>
  </si>
  <si>
    <r>
      <t xml:space="preserve">ADE will use the information included on this page to complete the National Public Education Financial Survey (NPEFS) and Form 33 issued by the National Center for Education Statistics. </t>
    </r>
    <r>
      <rPr>
        <b/>
        <u/>
        <sz val="10"/>
        <rFont val="Times New Roman"/>
        <family val="1"/>
      </rPr>
      <t>All charters are required to submit NPEFS data</t>
    </r>
    <r>
      <rPr>
        <sz val="10"/>
        <rFont val="Times New Roman"/>
        <family val="1"/>
      </rPr>
      <t xml:space="preserve">, which is used to calculate a State per pupil expenditure amount that is used in the formula for allocating a number of federal program funds to states and local education agencies, including Title I, Impact Aid, and Indian Education. Other programs use State per pupil expenditure data indirectly because their allocation formulas are based, in whole or in part, on State Title I allocations. The NPEFS and Form 33 data is also used by researchers and government policymakers to address important education policy and research issues.
Report all amounts from Projects 1000 through 1999 on this page. Do not include principal payments.
If the charter has a negative amount in cell G25 (supplies from State and local sources), the negative amount is likely from an adjustment made to recognize spending from Child nutrition program revenues reported in the Food Service tab as federal spending rather than State and local spending where the Food Service Project is initially reported. If there is a negative amount in cell G25:
1. Note the amount of the negative balance and add that amount at the end of the formula in cell G25 (for example “+200”) to clear the negative. Then you must subtract that amount in total (for example “-200”) at the end of the formula(s) for one or more of the other State and local spending cells (D25 through F25 or H25 through K25), without creating a negative balance in any of those cells.
2. Finally, to complete this adjustment, add the adjustment amount(s) from step 1 above to the applicable federal source columns by object code in cells D24 through K24.
</t>
    </r>
  </si>
  <si>
    <t xml:space="preserve">Enter all known awards to date, awarded both before and after June 30, 2025. If the specific fund/program is not listed, it should be reported on line 6, Other COVID-19 Federal Relief Funds. 
For further assistance with this item, please contact the Auditor General's Accountability Services Division at (602) 977-2796 or email asd@azauditor.gov. 
New charters reporting for the first time: Enter the total award amounts in each line, as applicable. If your charter did not receive an award for a listed project, please enter 0 on that line. </t>
  </si>
  <si>
    <t>COVID-19 federal relief projects, FY 2020 through 2024
Expenses and Other Financing Uses</t>
  </si>
  <si>
    <t xml:space="preserve">Enter the total FY 2020 through 2024 expenses, including property disbursements, debt service payments, and indirect costs transfers-out amounts from each COVID project/program listed. If the amount is zero, enter 0. If the specific project/program is not listed, report on line 6, Other COVID-19 federal relief projects. </t>
  </si>
  <si>
    <t>COVID-19 federal relief projects, FY 2025 Expenses and Other Financing Uses</t>
  </si>
  <si>
    <r>
      <t>Enter the total expenses, including property disbursements and debt service payments, and indirect costs transfers-out made for FY 202</t>
    </r>
    <r>
      <rPr>
        <sz val="10"/>
        <color rgb="FFFF0000"/>
        <rFont val="Times New Roman"/>
        <family val="1"/>
      </rPr>
      <t>5</t>
    </r>
    <r>
      <rPr>
        <sz val="10"/>
        <rFont val="Times New Roman"/>
        <family val="2"/>
      </rPr>
      <t xml:space="preserve"> from each COVID project/program listed. If the amount is zero, enter 0. If the specific project/program is not listed, report on line 6, Other COVID-19 federal relief projects.
Total expenses on line 7 should agree to the amount displayed in cell F43.</t>
    </r>
  </si>
  <si>
    <t>Total FY 2025 expenses + indirect costs, debt service, and property disbursements</t>
  </si>
  <si>
    <t xml:space="preserve">Obtain total Attending ADM for FY 2024 and FY 2025 from the unweighted student count in ADE’s BSA-55 report, available on ADE’s website.  </t>
  </si>
  <si>
    <t xml:space="preserve">The beginning balance for each project, at July 1, 2024, automatically pull from the projects' ending balance reported on the FY 2024 AFR. </t>
  </si>
  <si>
    <t>If an ending project balance is reported incorrectly on the FY 2024 AFR, charters should enter the correct amount in the adjusted beginning project balance column on line 17. Only enter an amount on the line if the charter needs to adjust the beginning project balance for any errors or audit adjustments identified in the charter's FY 2024 audit.</t>
  </si>
  <si>
    <t>Report the cash balance (if any) as of July 1, 2025. If there was no cash balance as of July 1, 2025, subtract total expenses from total revenue to determine the cash balance as of June 30, 2025.</t>
  </si>
  <si>
    <t xml:space="preserve">This line pulls in prior year ending balances from the Summary tab for all projects. If any ending project balances were reported incorrectly on the prior year AFR, charters should enter the calculated beginning balance on the Summary tab, column C, as described in the instruction for that column. The calculated beginning balance should include any errors or audit adjustments identified in the Charter's FY 2024 audit. </t>
  </si>
  <si>
    <t xml:space="preserve">Report amounts the Charter plans to spend to support FY 2026 budgeted spending after using all available FY 2026 revenues. Any nonspendable amounts included in reserve such as current prepaid assets should be included in this line if the Charter plans to use them in FY 2026. Otherwise, such nonspendable assets should be included in the amounts reported on the lines below based on the Charter's plan to use them to benefit a future year, as applicable. </t>
  </si>
  <si>
    <t xml:space="preserve">Report accumulated reserve amounts that will not be used to finance current budget year expenses and their intended future purposes on lines 3.c through h. Amounts needed to support current-year (FY 2026) expenditures should have been reported on lines 3.b. See specific instructions for line 3. c through f below. If a specific purpose has not been listed, use lines 3. g and h and indicate the purpose. </t>
  </si>
  <si>
    <t>If the Charter answered question B.1 "Yes," complete this table to describe the Charter's specific FY 2025 targeted and actual project balance reserve amounts and methods used to establish those targeted balance reserve amounts. Charters should display information in this table in a way that best reflects its process or policies. It may combine all or multiple projects on 1 line or use individual lines for specific projects if varying methods are used to establish target balance reserve levels for different projects. Methods used can also include a variety of information. For example, a charter may establish project balance reserve levels based on a certain percentage of operating revenue or spending, or describe minimum and maximum targeted balances. If a charter establishes targeted project balance reserve amounts based on the Arizona State Board for Charter Schools financial framework or other private or nonprofit reserve guidelines, that may also be described here.</t>
  </si>
  <si>
    <t>Enter the total increase in capital assets, by asset classification, recorded in the general ledger and on the capital assets list for the year ended June 30, 2025.  These amounts represent only the assets acquired during the year costing $5,000 or more and, for equipment, having useful lives of 1 year or more. The amount should include assets that were acquired by purchase, leases, or construction for all projects. If no acquisitions were made during the year, enter a 0 value in each line.
Note: If the Charter's policy is to include intangible assets; land, buildings, and related improvements; site improvements; or equipment costing less than $5,000 on the capital assets list, these items should also be included.</t>
  </si>
  <si>
    <t>Enter the total cost, by asset classification, recorded in the general ledger and on the capital assets list as of June 30, 2025, for items costing $5,000 or more and, for equipment, having useful lives of 1 year or more, including right-of-use assets aquired through leases. These amounts represent the ending balances in the capital assets accounts, accounting for current year acquisitions and disposals, and should not include depreciation.
Note:  If the Charter's policy is to include land, buildings, and related improvements; site improvements; or equipment costing less than $5,000 on the capital assets list, these items should also be included.  The sum of lines 1, 2, 3, and 4 should agree with the amount recorded on the Charter's capital assets list as of June 30, 2025.</t>
  </si>
  <si>
    <t>Books, Periodicals, and Instructional Aids (programs 100-630, excluding 400)</t>
  </si>
  <si>
    <t>Page 6, section H, average teacher salary table is not complete. The average salary of all teachers employed in FY 2025 must be recorded on page 6, section H, line 1. New charters must still report an amount on line 1. If a charter was new and began operations in FY 2025, please indicate so by checking the box in K28.</t>
  </si>
  <si>
    <t>Consolidated the separate Food Service AFR into the AFR file.</t>
  </si>
  <si>
    <r>
      <t>Report the reimbursements received from Child Nutrition Programs based on the claims for the reporting year (July 1, 2024</t>
    </r>
    <r>
      <rPr>
        <sz val="10"/>
        <color theme="1"/>
        <rFont val="Calibri"/>
        <family val="2"/>
      </rPr>
      <t>–</t>
    </r>
    <r>
      <rPr>
        <sz val="10"/>
        <color theme="1"/>
        <rFont val="Times New Roman"/>
        <family val="1"/>
      </rPr>
      <t>June 30, 2025). Include all food service programs (School Lunch, Regular and Severe Need Breakfast, Special Milk, Reimbursable After School Care Snack, Summer Food, and Child Care Food Programs).
Report revenues received for Supply Chain Assistance Funds (for schools to purchase unprocessed or minimally processed domestic food products) and for Local Foods for Schools (Arizona's 'Try it Local' Program) for the reporting year (July 1, 2024 - June 30, 2025).</t>
    </r>
  </si>
  <si>
    <t xml:space="preserve">Section A presents the prior year's and current year's ending balances for all projects and provides space for charters to report FY 2025 ending balance details that identify how charters plan to use those monies in future years. </t>
  </si>
  <si>
    <t>Moved adjusted project balance cell from the Summary tab to Page 3.</t>
  </si>
  <si>
    <t>Moved adjusted project balance cell from the Summary tab to Page 4.</t>
  </si>
  <si>
    <t>Moved adjusted project balance cell from the Summary tab to Page 5.</t>
  </si>
  <si>
    <t>Pima Rose Academy, Inc.</t>
  </si>
  <si>
    <t>Pima</t>
  </si>
  <si>
    <t>108602000</t>
  </si>
  <si>
    <t>President</t>
  </si>
  <si>
    <t>Member</t>
  </si>
  <si>
    <t>ccapen@pimaroseacademy.com</t>
  </si>
  <si>
    <t>Cathleen Capen</t>
  </si>
  <si>
    <t>Dr. Kelly Hurtado</t>
  </si>
  <si>
    <t>khurtado@pimaroseacademy.com</t>
  </si>
  <si>
    <t>Pima Rose Academy</t>
  </si>
  <si>
    <t>108602001</t>
  </si>
  <si>
    <t>State Equalization Assistance</t>
  </si>
  <si>
    <t>Classroom Site Fund</t>
  </si>
  <si>
    <t>Instructional Improvement Fund</t>
  </si>
  <si>
    <t>Prop 123</t>
  </si>
  <si>
    <t>One Time Supplemental Funds</t>
  </si>
  <si>
    <t>ARPA Educational Disparitites &amp; Teacher Development</t>
  </si>
  <si>
    <t>School Safety Program Grant</t>
  </si>
  <si>
    <t>Cyber Readiness Program Grant</t>
  </si>
  <si>
    <t>Public School Tax Credit</t>
  </si>
  <si>
    <t>Instruction- Salaries</t>
  </si>
  <si>
    <t>Instruction- Salaries Grant</t>
  </si>
  <si>
    <t>Instruction- IA Salaries</t>
  </si>
  <si>
    <t>Instruction- Employee benefits</t>
  </si>
  <si>
    <t>Instruction- Taxes &amp; ASRS</t>
  </si>
  <si>
    <t>Instruction- Purchased Services Personnel Grant</t>
  </si>
  <si>
    <t>Leased Teachers- Purchased Services Personnel</t>
  </si>
  <si>
    <t>Support Services- Students- Salaries</t>
  </si>
  <si>
    <t>Support Services- Students- Purchased Personnel</t>
  </si>
  <si>
    <t xml:space="preserve">Support Services- Students SC/SW Salaries </t>
  </si>
  <si>
    <t>Support Services- Students SC/SW Purchased Personnel</t>
  </si>
  <si>
    <t>Support Services- Students - Supervisor Salaries Purchased Personnel</t>
  </si>
  <si>
    <t>Support Services- Students - Employee benefits</t>
  </si>
  <si>
    <t>Support Services- Students - Taxes &amp; ASRS</t>
  </si>
  <si>
    <t>Support Services- Instruction - Supervisor Salaries</t>
  </si>
  <si>
    <t xml:space="preserve">Support Services- Instruction - Salaries </t>
  </si>
  <si>
    <t>Support Services- Instruction - Purchased Services Personnel</t>
  </si>
  <si>
    <t>Support Services- Instruction -  Employee benefits</t>
  </si>
  <si>
    <t>Support Services- Instruction -  Taxes &amp; ASRS</t>
  </si>
  <si>
    <t>Support Services- General Administration- Salaries</t>
  </si>
  <si>
    <t>Support Services- General Administration- Employee Benefits</t>
  </si>
  <si>
    <t>Support Services- General Administration-Taxes &amp; ASRS</t>
  </si>
  <si>
    <t>Support Services- General Administration- Worker's Comp</t>
  </si>
  <si>
    <t>Support Services- General Administration- Unemployment Ins</t>
  </si>
  <si>
    <t>Support Services- School Administration- Salaries</t>
  </si>
  <si>
    <t>Support Services- School Administration- Purchased Services Personnel</t>
  </si>
  <si>
    <t>Support Services- School Administration- Employee Benefits</t>
  </si>
  <si>
    <t>Support Services- School Administration- Taxes &amp; ASRS</t>
  </si>
  <si>
    <t>Support Services- Central Services- Salaries</t>
  </si>
  <si>
    <t>Support Services- Central Services - Supervisor Salaries</t>
  </si>
  <si>
    <t>Support Services- Central Services - Purchased Services Personnel</t>
  </si>
  <si>
    <t>Support Services- Central Services- Employee benefits</t>
  </si>
  <si>
    <t>Support Services- Central Services- Taxes &amp; ASRS</t>
  </si>
  <si>
    <t>Support Services- Op &amp; maint- Salaries</t>
  </si>
  <si>
    <t xml:space="preserve">Support Services- Op &amp; maint- Purchased Services </t>
  </si>
  <si>
    <t>Support Services- Op &amp; maint- Employee Benefits</t>
  </si>
  <si>
    <t>Support Services- Op &amp; maint- Taxes &amp; ASRS</t>
  </si>
  <si>
    <t>ELL Instruction-  Salaries</t>
  </si>
  <si>
    <t>ELL Instruction- Purchased Services Personnel</t>
  </si>
  <si>
    <t>ELL Instruction- Employee Benefits</t>
  </si>
  <si>
    <t>ELL Instruction- Taxes &amp; ASRS</t>
  </si>
  <si>
    <t>Special Ed Instruction-  Salaries</t>
  </si>
  <si>
    <t>Special Ed Instruction- Purchased Services Personnel</t>
  </si>
  <si>
    <t>Special Ed Instruction- Employee Benefits</t>
  </si>
  <si>
    <t>Special Ed Instruction- Taxes &amp; ASRS</t>
  </si>
  <si>
    <t>Special Ed Support Services- Students- Salaries</t>
  </si>
  <si>
    <t>Special Ed Support Services- Students- Purchased Services Personnel</t>
  </si>
  <si>
    <t>Special Ed Support Services- Students- Employee Benefits</t>
  </si>
  <si>
    <t>Special Ed Support Services- Students- Taxes &amp; ASRS</t>
  </si>
  <si>
    <t>Special Ed Support Services- Instruction- Salaries</t>
  </si>
  <si>
    <t>Special Ed Support Services- Instruction- Purchased Services Personnel</t>
  </si>
  <si>
    <t>Special Ed Support Services- Instruction- Employee  Benefits</t>
  </si>
  <si>
    <t>Special Ed Support Services- Instruction- Taxes &amp; ASRS</t>
  </si>
  <si>
    <t>Classroom Site Fund Instruction Salaries</t>
  </si>
  <si>
    <t>Classroom Site Fund Instruction Salaries SPED</t>
  </si>
  <si>
    <t>Classroom Site Fund Instruction Benefits</t>
  </si>
  <si>
    <t>Classroom Site Fund Instruction Benefits SPED</t>
  </si>
  <si>
    <t>Classroom Site Fund Instruction Curriculum</t>
  </si>
  <si>
    <t>Classroom Site Fund Instruction Curriculum SPED</t>
  </si>
  <si>
    <t>Classroom Site Fund Student Support Salaries</t>
  </si>
  <si>
    <t>Classroom Site Fund Student Support Salaries SPED</t>
  </si>
  <si>
    <t>Classroom Site Fund Student Support Benefits</t>
  </si>
  <si>
    <t>Classroom Site Fund Student Support Benefits SPED</t>
  </si>
  <si>
    <t>Classroom Site Fund Student Support Purchased Services</t>
  </si>
  <si>
    <t>Classroom Site Fund Student Support Purchased Services SPED</t>
  </si>
  <si>
    <t>Classroom Site Fund Professional Development Salaries- Instr Support</t>
  </si>
  <si>
    <t>Classroom Site Fund Professional Development Salaries- Instr Support SPED</t>
  </si>
  <si>
    <t>Classroom Site Fund Professional Development Benefits- Insts Support</t>
  </si>
  <si>
    <t>Classroom Site Fund Professional Development Benefits- Insts Support SPED</t>
  </si>
  <si>
    <t>Classroom Site Fund Professional Development Salaries- Instr</t>
  </si>
  <si>
    <t>Classroom Site Fund Professional Development Benefits- Instr</t>
  </si>
  <si>
    <t>Classroom Site Fund Professional Development Purchased Services</t>
  </si>
  <si>
    <t>Classroom Site Fund Professional Development Purchased Services SPEd</t>
  </si>
  <si>
    <t>Instructional Improvement Programs</t>
  </si>
  <si>
    <t>Advertising</t>
  </si>
  <si>
    <t>Dropout Recovery Grant</t>
  </si>
  <si>
    <t>Employee Recruitment</t>
  </si>
  <si>
    <t>Technology purchased services- attendance</t>
  </si>
  <si>
    <t>Technology purchased services- network</t>
  </si>
  <si>
    <t>Technology purchased services- website</t>
  </si>
  <si>
    <t>Memberships</t>
  </si>
  <si>
    <t>Internet</t>
  </si>
  <si>
    <t>Licenses &amp; permits- Student Support</t>
  </si>
  <si>
    <t>Licenses &amp; permits- Op &amp; Maint</t>
  </si>
  <si>
    <t>Licenses &amp; permits- Central Services</t>
  </si>
  <si>
    <t>Licenses &amp; permits- Special Ed</t>
  </si>
  <si>
    <t>Licenses &amp; permits- Instruction</t>
  </si>
  <si>
    <t>Licenses &amp; permits- Instruction Grant</t>
  </si>
  <si>
    <t>Postage</t>
  </si>
  <si>
    <t>Professional development</t>
  </si>
  <si>
    <t>Professional development Grant</t>
  </si>
  <si>
    <t>Liability insurance</t>
  </si>
  <si>
    <t>State Taxes</t>
  </si>
  <si>
    <t>Professional fees- Audit</t>
  </si>
  <si>
    <t>Professional fees- legal, accounting</t>
  </si>
  <si>
    <t>Professional services- cleaning</t>
  </si>
  <si>
    <t>Professional services- printing</t>
  </si>
  <si>
    <t>Professional services-  backflow, fire</t>
  </si>
  <si>
    <t>Professional services-  pest &amp; alarm</t>
  </si>
  <si>
    <t>Professional services-  SIS</t>
  </si>
  <si>
    <t>Rent &amp; CAM</t>
  </si>
  <si>
    <t>Repairs &amp; Maint</t>
  </si>
  <si>
    <t>Communication- telephone</t>
  </si>
  <si>
    <t>Communication- network</t>
  </si>
  <si>
    <t>Food</t>
  </si>
  <si>
    <t>Travel</t>
  </si>
  <si>
    <t>utilities- water, sewage, trash, bottled water</t>
  </si>
  <si>
    <t>energy- gas</t>
  </si>
  <si>
    <t>energy- electric</t>
  </si>
  <si>
    <t>General Supplies</t>
  </si>
  <si>
    <t>Vehicle</t>
  </si>
  <si>
    <t>Cleaning supplies</t>
  </si>
  <si>
    <t>Instructional supplies</t>
  </si>
  <si>
    <t>Instructional Supplies- grant</t>
  </si>
  <si>
    <t>Supplies- graduation</t>
  </si>
  <si>
    <t>Technology- hardware</t>
  </si>
  <si>
    <t>Student Support Services-  non SPED</t>
  </si>
  <si>
    <t>Student Support Services SPED</t>
  </si>
  <si>
    <t>Other Purchased Services</t>
  </si>
  <si>
    <t>Equipment rental</t>
  </si>
  <si>
    <t>Facility rental</t>
  </si>
  <si>
    <t>C3-F3-P3</t>
  </si>
  <si>
    <t>2% of total budgeted revenues is used to increase reserve balance to cover 2 months of budgeted expenses.</t>
  </si>
  <si>
    <t>Future Financial Stability</t>
  </si>
  <si>
    <t>X</t>
  </si>
  <si>
    <t>https://www.go2rose.com/school-info/pima-rose-academy/</t>
  </si>
  <si>
    <t>The average teacher salary is calculated using base pay of teachers only, which does not include stipends, classroom site fund, and bonus monies. The average salary of all teachers varies each school year depending on the makeup of experienced and new teachers.</t>
  </si>
  <si>
    <t>b8y7n6c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</si>
</sst>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_);\(0\)"/>
    <numFmt numFmtId="166" formatCode="0.0"/>
    <numFmt numFmtId="167" formatCode="0."/>
    <numFmt numFmtId="168" formatCode="\(0E+00\);\(\-0E+00\)"/>
    <numFmt numFmtId="169" formatCode="0.000"/>
    <numFmt numFmtId="170" formatCode="_(&quot;$&quot;* #,##0_);_(&quot;$&quot;* \(#,##0\);_(&quot;$&quot;* &quot;-&quot;??_);_(@_)"/>
    <numFmt numFmtId="171" formatCode="0.0%"/>
    <numFmt numFmtId="172" formatCode="_(* #,##0_);_(* \(#,##0\);_(* &quot;-&quot;??_);_(@_)"/>
    <numFmt numFmtId="173" formatCode="#,##0.0000_);\(#,##0.0000\)"/>
    <numFmt numFmtId="174" formatCode="#,##0.000_);\(#,##0.000\)"/>
  </numFmts>
  <fonts count="72" x14ac:knownFonts="1">
    <font>
      <sz val="10"/>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0"/>
      <name val="Times New Roman"/>
      <family val="1"/>
    </font>
    <font>
      <sz val="9"/>
      <name val="Times New Roman"/>
      <family val="1"/>
    </font>
    <font>
      <b/>
      <sz val="10"/>
      <name val="Arial"/>
      <family val="2"/>
    </font>
    <font>
      <u/>
      <sz val="9"/>
      <color indexed="12"/>
      <name val="Arial"/>
      <family val="2"/>
    </font>
    <font>
      <b/>
      <sz val="14"/>
      <name val="Times New Roman"/>
      <family val="1"/>
    </font>
    <font>
      <b/>
      <sz val="12"/>
      <name val="Times New Roman"/>
      <family val="1"/>
    </font>
    <font>
      <sz val="10"/>
      <name val="Calibri"/>
      <family val="2"/>
    </font>
    <font>
      <sz val="10"/>
      <color indexed="12"/>
      <name val="Times New Roman"/>
      <family val="1"/>
    </font>
    <font>
      <b/>
      <u/>
      <sz val="10"/>
      <name val="Times New Roman"/>
      <family val="1"/>
    </font>
    <font>
      <sz val="11"/>
      <name val="Times New Roman"/>
      <family val="1"/>
    </font>
    <font>
      <sz val="12"/>
      <name val="Arial"/>
      <family val="2"/>
    </font>
    <font>
      <b/>
      <sz val="10"/>
      <color indexed="12"/>
      <name val="Times New Roman"/>
      <family val="1"/>
    </font>
    <font>
      <sz val="8"/>
      <name val="Times New Roman"/>
      <family val="1"/>
    </font>
    <font>
      <strike/>
      <sz val="10"/>
      <name val="Times New Roman"/>
      <family val="1"/>
    </font>
    <font>
      <b/>
      <sz val="11"/>
      <name val="Times New Roman"/>
      <family val="1"/>
    </font>
    <font>
      <u/>
      <sz val="9"/>
      <color indexed="12"/>
      <name val="Times New Roman"/>
      <family val="1"/>
    </font>
    <font>
      <b/>
      <i/>
      <sz val="10"/>
      <name val="Times New Roman"/>
      <family val="1"/>
    </font>
    <font>
      <b/>
      <sz val="9"/>
      <name val="Times New Roman"/>
      <family val="1"/>
    </font>
    <font>
      <i/>
      <sz val="10"/>
      <name val="Times New Roman"/>
      <family val="1"/>
    </font>
    <font>
      <sz val="11"/>
      <name val="Calibri"/>
      <family val="2"/>
    </font>
    <font>
      <u/>
      <sz val="9"/>
      <name val="Arial"/>
      <family val="2"/>
    </font>
    <font>
      <sz val="10"/>
      <name val="Cambria"/>
      <family val="1"/>
    </font>
    <font>
      <b/>
      <sz val="10"/>
      <color indexed="8"/>
      <name val="Times New Roman"/>
      <family val="1"/>
    </font>
    <font>
      <b/>
      <sz val="11"/>
      <color theme="1"/>
      <name val="Calibri"/>
      <family val="2"/>
      <scheme val="minor"/>
    </font>
    <font>
      <sz val="10"/>
      <color theme="1"/>
      <name val="Times New Roman"/>
      <family val="1"/>
    </font>
    <font>
      <b/>
      <u/>
      <sz val="10"/>
      <color rgb="FF0000FF"/>
      <name val="Times New Roman"/>
      <family val="1"/>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sz val="11"/>
      <name val="Calibri"/>
      <family val="2"/>
      <scheme val="minor"/>
    </font>
    <font>
      <b/>
      <sz val="11"/>
      <color theme="1"/>
      <name val="Times New Roman"/>
      <family val="1"/>
    </font>
    <font>
      <sz val="11"/>
      <color theme="1"/>
      <name val="Times New Roman"/>
      <family val="1"/>
    </font>
    <font>
      <sz val="11"/>
      <color theme="0" tint="-0.24985503707998902"/>
      <name val="Times New Roman"/>
      <family val="1"/>
    </font>
    <font>
      <b/>
      <sz val="11"/>
      <name val="Calibri"/>
      <family val="2"/>
      <scheme val="minor"/>
    </font>
    <font>
      <sz val="8"/>
      <color rgb="FF000000"/>
      <name val="Arial"/>
      <family val="2"/>
    </font>
    <font>
      <u/>
      <sz val="8"/>
      <color rgb="FF0000FF"/>
      <name val="Times New Roman"/>
      <family val="1"/>
    </font>
    <font>
      <sz val="10"/>
      <color theme="0"/>
      <name val="Times New Roman"/>
      <family val="1"/>
    </font>
    <font>
      <sz val="11"/>
      <color theme="1" tint="0.34998626667073579"/>
      <name val="Calibri"/>
      <family val="2"/>
    </font>
    <font>
      <b/>
      <sz val="10"/>
      <color rgb="FFFF0000"/>
      <name val="Times New Roman"/>
      <family val="1"/>
    </font>
    <font>
      <sz val="10"/>
      <color theme="2" tint="-0.74987029633472702"/>
      <name val="Times New Roman"/>
      <family val="1"/>
    </font>
    <font>
      <sz val="11"/>
      <color rgb="FF000000"/>
      <name val="Calibri"/>
      <family val="2"/>
      <scheme val="minor"/>
    </font>
    <font>
      <u/>
      <sz val="10"/>
      <color indexed="12"/>
      <name val="Arial"/>
      <family val="2"/>
    </font>
    <font>
      <sz val="10"/>
      <color indexed="8"/>
      <name val="Times New Roman"/>
      <family val="1"/>
    </font>
    <font>
      <sz val="10"/>
      <color theme="0" tint="-0.3498947111423078"/>
      <name val="Times New Roman"/>
      <family val="1"/>
    </font>
    <font>
      <sz val="10"/>
      <color rgb="FF000000"/>
      <name val="Times New Roman"/>
      <family val="1"/>
    </font>
    <font>
      <sz val="9"/>
      <color rgb="FFFF0000"/>
      <name val="Times New Roman"/>
      <family val="1"/>
    </font>
    <font>
      <sz val="10"/>
      <color rgb="FF0000CC"/>
      <name val="Times New Roman"/>
      <family val="2"/>
    </font>
    <font>
      <b/>
      <sz val="10"/>
      <color theme="1"/>
      <name val="Times New Roman"/>
      <family val="1"/>
    </font>
    <font>
      <b/>
      <u/>
      <sz val="10"/>
      <color theme="1"/>
      <name val="Times New Roman"/>
      <family val="1"/>
    </font>
    <font>
      <b/>
      <sz val="10"/>
      <color rgb="FF0000CC"/>
      <name val="Times New Roman"/>
      <family val="1"/>
    </font>
    <font>
      <i/>
      <sz val="10"/>
      <color theme="1"/>
      <name val="Times New Roman"/>
      <family val="1"/>
    </font>
    <font>
      <sz val="11"/>
      <color rgb="FFFF0000"/>
      <name val="Times New Roman"/>
      <family val="1"/>
    </font>
    <font>
      <sz val="14"/>
      <name val="Times New Roman"/>
      <family val="1"/>
    </font>
    <font>
      <sz val="10"/>
      <color rgb="FF3366FF"/>
      <name val="Times New Roman"/>
      <family val="1"/>
    </font>
    <font>
      <b/>
      <sz val="8"/>
      <color indexed="12"/>
      <name val="Times New Roman"/>
      <family val="1"/>
    </font>
    <font>
      <u/>
      <sz val="10"/>
      <name val="Times New Roman"/>
      <family val="1"/>
    </font>
    <font>
      <u/>
      <sz val="10"/>
      <color indexed="12"/>
      <name val="Times New Roman"/>
      <family val="1"/>
    </font>
    <font>
      <sz val="10"/>
      <name val="Times New Roman"/>
      <family val="2"/>
    </font>
    <font>
      <u/>
      <sz val="10"/>
      <color rgb="FF0000FF"/>
      <name val="Times New Roman"/>
      <family val="1"/>
    </font>
    <font>
      <b/>
      <sz val="16"/>
      <name val="Times New Roman"/>
      <family val="1"/>
    </font>
    <font>
      <sz val="10"/>
      <name val="Times New Roman"/>
      <family val="1"/>
    </font>
    <font>
      <sz val="9"/>
      <name val="Times New Roman"/>
      <family val="2"/>
    </font>
    <font>
      <sz val="10"/>
      <color rgb="FF0000FF"/>
      <name val="Times New Roman"/>
      <family val="2"/>
    </font>
    <font>
      <sz val="10"/>
      <color theme="1"/>
      <name val="Calibri"/>
      <family val="2"/>
    </font>
  </fonts>
  <fills count="18">
    <fill>
      <patternFill patternType="none"/>
    </fill>
    <fill>
      <patternFill patternType="gray125"/>
    </fill>
    <fill>
      <patternFill patternType="solid">
        <fgColor theme="0" tint="-0.1498764000366222"/>
        <bgColor indexed="64"/>
      </patternFill>
    </fill>
    <fill>
      <patternFill patternType="solid">
        <fgColor theme="9" tint="0.59987182226020086"/>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indexed="22"/>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theme="0" tint="-0.24982451857051302"/>
        <bgColor indexed="64"/>
      </patternFill>
    </fill>
    <fill>
      <patternFill patternType="solid">
        <fgColor rgb="FFFFFF00"/>
        <bgColor indexed="64"/>
      </patternFill>
    </fill>
    <fill>
      <patternFill patternType="solid">
        <fgColor theme="0" tint="-0.14990691854609822"/>
        <bgColor indexed="64"/>
      </patternFill>
    </fill>
    <fill>
      <patternFill patternType="solid">
        <fgColor theme="4" tint="0.79985961485641044"/>
        <bgColor indexed="64"/>
      </patternFill>
    </fill>
    <fill>
      <patternFill patternType="solid">
        <fgColor theme="5" tint="0.59987182226020086"/>
        <bgColor indexed="64"/>
      </patternFill>
    </fill>
    <fill>
      <patternFill patternType="solid">
        <fgColor theme="5" tint="0.39997558519241921"/>
        <bgColor indexed="64"/>
      </patternFill>
    </fill>
    <fill>
      <patternFill patternType="solid">
        <fgColor rgb="FFFF7474"/>
        <bgColor indexed="64"/>
      </patternFill>
    </fill>
    <fill>
      <patternFill patternType="solid">
        <fgColor rgb="FFFFFFCC"/>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style="medium">
        <color auto="1"/>
      </bottom>
      <diagonal/>
    </border>
    <border>
      <left/>
      <right style="thin">
        <color auto="1"/>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5">
    <xf numFmtId="0" fontId="0" fillId="0" borderId="0"/>
    <xf numFmtId="9" fontId="6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0" fillId="0" borderId="0" applyNumberFormat="0" applyFill="0" applyBorder="0">
      <protection locked="0"/>
    </xf>
    <xf numFmtId="0" fontId="6" fillId="0" borderId="0"/>
    <xf numFmtId="0" fontId="17" fillId="0" borderId="0" applyFont="0" applyBorder="0"/>
    <xf numFmtId="0" fontId="5" fillId="0" borderId="0"/>
    <xf numFmtId="0" fontId="5" fillId="0" borderId="0"/>
    <xf numFmtId="0" fontId="6" fillId="0" borderId="0"/>
    <xf numFmtId="0" fontId="49" fillId="0" borderId="0" applyNumberFormat="0" applyFill="0" applyBorder="0">
      <protection locked="0"/>
    </xf>
    <xf numFmtId="0" fontId="65" fillId="0" borderId="0"/>
    <xf numFmtId="0" fontId="10" fillId="0" borderId="0" applyNumberFormat="0" applyFill="0" applyBorder="0">
      <protection locked="0"/>
    </xf>
  </cellStyleXfs>
  <cellXfs count="1007">
    <xf numFmtId="0" fontId="0" fillId="0" borderId="0" xfId="0"/>
    <xf numFmtId="0" fontId="0" fillId="0" borderId="3" xfId="0" applyBorder="1" applyAlignment="1">
      <alignment horizontal="center"/>
    </xf>
    <xf numFmtId="49" fontId="0" fillId="0" borderId="3" xfId="0" applyNumberFormat="1" applyBorder="1" applyAlignment="1">
      <alignment horizontal="center"/>
    </xf>
    <xf numFmtId="0" fontId="7" fillId="0" borderId="0" xfId="0" applyFont="1" applyAlignment="1">
      <alignment horizontal="left"/>
    </xf>
    <xf numFmtId="0" fontId="0" fillId="0" borderId="0" xfId="0" applyAlignment="1">
      <alignment horizontal="center"/>
    </xf>
    <xf numFmtId="0" fontId="0" fillId="0" borderId="0" xfId="0" applyAlignment="1">
      <alignment horizontal="center" wrapText="1"/>
    </xf>
    <xf numFmtId="0" fontId="0" fillId="0" borderId="3" xfId="0" applyBorder="1"/>
    <xf numFmtId="0" fontId="0" fillId="0" borderId="0" xfId="0" applyAlignment="1">
      <alignment horizontal="right"/>
    </xf>
    <xf numFmtId="0" fontId="0" fillId="0" borderId="0" xfId="0" applyAlignment="1">
      <alignment wrapText="1"/>
    </xf>
    <xf numFmtId="0" fontId="39" fillId="0" borderId="1" xfId="7" applyFont="1" applyBorder="1" applyProtection="1">
      <protection locked="0"/>
    </xf>
    <xf numFmtId="49" fontId="39" fillId="0" borderId="1" xfId="7" applyNumberFormat="1" applyFont="1" applyBorder="1" applyProtection="1">
      <protection locked="0"/>
    </xf>
    <xf numFmtId="0" fontId="39" fillId="0" borderId="1" xfId="7" applyFont="1" applyBorder="1" applyAlignment="1" applyProtection="1">
      <alignment horizontal="right"/>
      <protection locked="0"/>
    </xf>
    <xf numFmtId="0" fontId="39" fillId="0" borderId="1" xfId="7" applyFont="1" applyBorder="1" applyAlignment="1" applyProtection="1">
      <alignment wrapText="1"/>
      <protection locked="0"/>
    </xf>
    <xf numFmtId="0" fontId="41" fillId="2" borderId="1" xfId="7" applyFont="1" applyFill="1" applyBorder="1" applyAlignment="1" applyProtection="1">
      <alignment horizontal="center"/>
      <protection locked="0"/>
    </xf>
    <xf numFmtId="0" fontId="6" fillId="0" borderId="0" xfId="7" applyProtection="1">
      <protection locked="0"/>
    </xf>
    <xf numFmtId="0" fontId="6" fillId="0" borderId="0" xfId="7" applyAlignment="1" applyProtection="1">
      <alignment horizontal="left" vertical="top"/>
      <protection locked="0"/>
    </xf>
    <xf numFmtId="0" fontId="6" fillId="0" borderId="0" xfId="7" applyAlignment="1" applyProtection="1">
      <alignment horizontal="left" vertical="top" wrapText="1"/>
      <protection locked="0"/>
    </xf>
    <xf numFmtId="0" fontId="6" fillId="3" borderId="2" xfId="7" applyFill="1" applyBorder="1" applyAlignment="1" applyProtection="1">
      <alignment horizontal="left" vertical="top"/>
      <protection locked="0"/>
    </xf>
    <xf numFmtId="49" fontId="42" fillId="0" borderId="0" xfId="7" applyNumberFormat="1" applyFont="1" applyProtection="1">
      <protection locked="0"/>
    </xf>
    <xf numFmtId="0" fontId="6" fillId="0" borderId="0" xfId="7" applyAlignment="1" applyProtection="1">
      <alignment horizontal="left" indent="1"/>
      <protection locked="0"/>
    </xf>
    <xf numFmtId="0" fontId="39" fillId="0" borderId="0" xfId="7" applyFont="1" applyAlignment="1" applyProtection="1">
      <alignment horizontal="left" vertical="top"/>
      <protection locked="0"/>
    </xf>
    <xf numFmtId="40" fontId="6" fillId="0" borderId="0" xfId="7" applyNumberFormat="1" applyAlignment="1" applyProtection="1">
      <alignment horizontal="left" vertical="top"/>
      <protection locked="0"/>
    </xf>
    <xf numFmtId="0" fontId="41" fillId="2" borderId="2" xfId="7" applyFont="1" applyFill="1" applyBorder="1" applyAlignment="1" applyProtection="1">
      <alignment horizontal="center"/>
      <protection locked="0"/>
    </xf>
    <xf numFmtId="0" fontId="6" fillId="3" borderId="0" xfId="7" applyFill="1" applyProtection="1">
      <protection locked="0"/>
    </xf>
    <xf numFmtId="0" fontId="6" fillId="3" borderId="0" xfId="7" applyFill="1" applyAlignment="1" applyProtection="1">
      <alignment horizontal="left" vertical="top"/>
      <protection locked="0"/>
    </xf>
    <xf numFmtId="0" fontId="6" fillId="3" borderId="0" xfId="7" applyFill="1" applyAlignment="1" applyProtection="1">
      <alignment horizontal="left"/>
      <protection locked="0"/>
    </xf>
    <xf numFmtId="0" fontId="48" fillId="4" borderId="0" xfId="0" applyFont="1" applyFill="1" applyProtection="1">
      <protection locked="0"/>
    </xf>
    <xf numFmtId="37" fontId="0" fillId="0" borderId="3" xfId="0" applyNumberFormat="1" applyBorder="1" applyProtection="1">
      <protection locked="0"/>
    </xf>
    <xf numFmtId="37" fontId="0" fillId="0" borderId="4" xfId="0" applyNumberFormat="1" applyBorder="1" applyProtection="1">
      <protection locked="0"/>
    </xf>
    <xf numFmtId="37" fontId="0" fillId="0" borderId="0" xfId="0" applyNumberFormat="1"/>
    <xf numFmtId="37" fontId="0" fillId="0" borderId="0" xfId="0" applyNumberFormat="1" applyProtection="1">
      <protection locked="0"/>
    </xf>
    <xf numFmtId="37" fontId="0" fillId="0" borderId="1" xfId="0" applyNumberFormat="1" applyBorder="1" applyAlignment="1" applyProtection="1">
      <alignment horizontal="right"/>
      <protection locked="0"/>
    </xf>
    <xf numFmtId="37" fontId="0" fillId="0" borderId="5" xfId="0" applyNumberFormat="1" applyBorder="1" applyAlignment="1" applyProtection="1">
      <alignment horizontal="right"/>
      <protection locked="0"/>
    </xf>
    <xf numFmtId="0" fontId="48" fillId="4" borderId="6" xfId="0" applyFont="1" applyFill="1" applyBorder="1" applyProtection="1">
      <protection locked="0"/>
    </xf>
    <xf numFmtId="168" fontId="56" fillId="0" borderId="7" xfId="12" applyNumberFormat="1" applyFont="1" applyFill="1" applyBorder="1" applyProtection="1"/>
    <xf numFmtId="37" fontId="31" fillId="0" borderId="1" xfId="10" applyNumberFormat="1" applyFont="1" applyBorder="1" applyAlignment="1" applyProtection="1">
      <alignment horizontal="right" vertical="center"/>
      <protection locked="0"/>
    </xf>
    <xf numFmtId="168" fontId="7" fillId="0" borderId="1" xfId="12" applyNumberFormat="1" applyFont="1" applyFill="1" applyBorder="1" applyAlignment="1" applyProtection="1">
      <alignment horizontal="center" wrapText="1"/>
    </xf>
    <xf numFmtId="37" fontId="31" fillId="0" borderId="1" xfId="4" applyNumberFormat="1" applyFont="1" applyFill="1" applyBorder="1" applyProtection="1">
      <protection locked="0"/>
    </xf>
    <xf numFmtId="37" fontId="31" fillId="5" borderId="1" xfId="10" quotePrefix="1" applyNumberFormat="1" applyFont="1" applyFill="1" applyBorder="1" applyProtection="1">
      <protection locked="0"/>
    </xf>
    <xf numFmtId="37" fontId="31" fillId="0" borderId="1" xfId="4" applyNumberFormat="1" applyFont="1" applyFill="1" applyBorder="1" applyAlignment="1" applyProtection="1">
      <alignment wrapText="1"/>
    </xf>
    <xf numFmtId="37" fontId="31" fillId="0" borderId="8" xfId="4" applyNumberFormat="1" applyFont="1" applyFill="1" applyBorder="1" applyProtection="1">
      <protection locked="0"/>
    </xf>
    <xf numFmtId="37" fontId="31" fillId="0" borderId="0" xfId="4" applyNumberFormat="1" applyFont="1" applyFill="1" applyBorder="1" applyProtection="1"/>
    <xf numFmtId="0" fontId="18" fillId="0" borderId="0" xfId="12" applyFont="1" applyFill="1" applyBorder="1" applyProtection="1"/>
    <xf numFmtId="0" fontId="34" fillId="0" borderId="0" xfId="12" applyFont="1" applyFill="1" applyBorder="1" applyProtection="1"/>
    <xf numFmtId="165" fontId="31" fillId="0" borderId="0" xfId="12" applyNumberFormat="1" applyFont="1" applyFill="1" applyBorder="1" applyAlignment="1" applyProtection="1">
      <alignment vertical="center" wrapText="1"/>
    </xf>
    <xf numFmtId="165" fontId="35" fillId="0" borderId="0" xfId="12" applyNumberFormat="1" applyFont="1" applyFill="1" applyBorder="1" applyAlignment="1" applyProtection="1">
      <alignment horizontal="center" vertical="center" wrapText="1"/>
    </xf>
    <xf numFmtId="168" fontId="14" fillId="6" borderId="9" xfId="12" applyNumberFormat="1" applyFont="1" applyFill="1" applyBorder="1" applyAlignment="1" applyProtection="1">
      <alignment horizontal="left"/>
    </xf>
    <xf numFmtId="165" fontId="31" fillId="6" borderId="4" xfId="12" applyNumberFormat="1" applyFont="1" applyFill="1" applyBorder="1" applyAlignment="1" applyProtection="1">
      <alignment horizontal="left"/>
    </xf>
    <xf numFmtId="37" fontId="31" fillId="0" borderId="1" xfId="10" applyNumberFormat="1" applyFont="1" applyBorder="1" applyProtection="1">
      <protection locked="0"/>
    </xf>
    <xf numFmtId="168" fontId="14" fillId="6" borderId="4" xfId="12" applyNumberFormat="1" applyFont="1" applyFill="1" applyBorder="1" applyAlignment="1" applyProtection="1">
      <alignment horizontal="left"/>
    </xf>
    <xf numFmtId="37" fontId="55" fillId="0" borderId="1" xfId="4" applyNumberFormat="1" applyFont="1" applyFill="1" applyBorder="1" applyAlignment="1" applyProtection="1">
      <alignment horizontal="right"/>
    </xf>
    <xf numFmtId="0" fontId="44" fillId="0" borderId="0" xfId="0" applyFont="1"/>
    <xf numFmtId="37" fontId="52" fillId="4" borderId="1" xfId="0" applyNumberFormat="1" applyFont="1" applyFill="1" applyBorder="1" applyProtection="1">
      <protection locked="0"/>
    </xf>
    <xf numFmtId="37" fontId="52" fillId="4" borderId="5" xfId="0" applyNumberFormat="1" applyFont="1" applyFill="1" applyBorder="1" applyProtection="1">
      <protection locked="0"/>
    </xf>
    <xf numFmtId="37" fontId="52" fillId="0" borderId="1" xfId="0" applyNumberFormat="1" applyFont="1" applyBorder="1" applyProtection="1">
      <protection locked="0"/>
    </xf>
    <xf numFmtId="37" fontId="52" fillId="4" borderId="10" xfId="0" applyNumberFormat="1" applyFont="1" applyFill="1" applyBorder="1" applyProtection="1">
      <protection locked="0"/>
    </xf>
    <xf numFmtId="37" fontId="52" fillId="4" borderId="11" xfId="0" applyNumberFormat="1" applyFont="1" applyFill="1" applyBorder="1" applyProtection="1">
      <protection locked="0"/>
    </xf>
    <xf numFmtId="37" fontId="52" fillId="0" borderId="11" xfId="0" applyNumberFormat="1" applyFont="1" applyBorder="1" applyProtection="1">
      <protection locked="0"/>
    </xf>
    <xf numFmtId="37" fontId="52" fillId="0" borderId="3" xfId="0" applyNumberFormat="1" applyFont="1" applyBorder="1" applyProtection="1">
      <protection locked="0"/>
    </xf>
    <xf numFmtId="3" fontId="52" fillId="0" borderId="3" xfId="0" applyNumberFormat="1" applyFont="1" applyBorder="1" applyProtection="1">
      <protection locked="0"/>
    </xf>
    <xf numFmtId="0" fontId="62" fillId="6" borderId="4" xfId="12" applyFont="1" applyFill="1" applyBorder="1" applyProtection="1"/>
    <xf numFmtId="0" fontId="62" fillId="6" borderId="8" xfId="12" applyFont="1" applyFill="1" applyBorder="1" applyProtection="1"/>
    <xf numFmtId="0" fontId="7" fillId="0" borderId="0" xfId="0" applyFont="1" applyAlignment="1">
      <alignment horizontal="right"/>
    </xf>
    <xf numFmtId="0" fontId="7" fillId="0" borderId="1" xfId="0" applyFont="1" applyBorder="1" applyAlignment="1">
      <alignment horizontal="center"/>
    </xf>
    <xf numFmtId="0" fontId="8" fillId="0" borderId="0" xfId="0" applyFont="1"/>
    <xf numFmtId="0" fontId="0" fillId="0" borderId="0" xfId="0" quotePrefix="1" applyAlignment="1">
      <alignment horizontal="right"/>
    </xf>
    <xf numFmtId="49" fontId="0" fillId="0" borderId="0" xfId="0" applyNumberFormat="1" applyAlignment="1">
      <alignment horizontal="right"/>
    </xf>
    <xf numFmtId="0" fontId="53" fillId="0" borderId="0" xfId="0" applyFont="1"/>
    <xf numFmtId="0" fontId="8" fillId="0" borderId="0" xfId="0" applyFont="1" applyAlignment="1">
      <alignment horizontal="centerContinuous"/>
    </xf>
    <xf numFmtId="0" fontId="0" fillId="0" borderId="0" xfId="0" applyAlignment="1">
      <alignment horizontal="centerContinuous"/>
    </xf>
    <xf numFmtId="49" fontId="0" fillId="0" borderId="0" xfId="0" quotePrefix="1" applyNumberFormat="1" applyAlignment="1">
      <alignment horizontal="right"/>
    </xf>
    <xf numFmtId="0" fontId="0" fillId="0" borderId="12" xfId="0" applyBorder="1"/>
    <xf numFmtId="0" fontId="0" fillId="0" borderId="7" xfId="0" applyBorder="1"/>
    <xf numFmtId="0" fontId="0" fillId="0" borderId="13" xfId="0" applyBorder="1"/>
    <xf numFmtId="0" fontId="0" fillId="0" borderId="10" xfId="0" applyBorder="1" applyAlignment="1">
      <alignment horizontal="centerContinuous"/>
    </xf>
    <xf numFmtId="0" fontId="0" fillId="0" borderId="13" xfId="0" applyBorder="1" applyAlignment="1">
      <alignment horizontal="centerContinuous"/>
    </xf>
    <xf numFmtId="0" fontId="0" fillId="0" borderId="12" xfId="0" applyBorder="1" applyAlignment="1">
      <alignment horizontal="centerContinuous"/>
    </xf>
    <xf numFmtId="0" fontId="34" fillId="6" borderId="2" xfId="6" applyFont="1" applyFill="1" applyBorder="1" applyProtection="1"/>
    <xf numFmtId="0" fontId="0" fillId="0" borderId="14" xfId="0" applyBorder="1"/>
    <xf numFmtId="0" fontId="0" fillId="0" borderId="2" xfId="0" applyBorder="1" applyAlignment="1">
      <alignment horizontal="center"/>
    </xf>
    <xf numFmtId="0" fontId="0" fillId="0" borderId="15" xfId="0" applyBorder="1" applyAlignment="1">
      <alignment horizontal="centerContinuous"/>
    </xf>
    <xf numFmtId="0" fontId="0" fillId="0" borderId="15" xfId="0" applyBorder="1" applyAlignment="1">
      <alignment horizontal="center"/>
    </xf>
    <xf numFmtId="0" fontId="0" fillId="0" borderId="14" xfId="0" applyBorder="1" applyAlignment="1">
      <alignment horizontal="centerContinuous"/>
    </xf>
    <xf numFmtId="0" fontId="0" fillId="0" borderId="10" xfId="0" applyBorder="1"/>
    <xf numFmtId="0" fontId="7" fillId="0" borderId="16" xfId="0" applyFont="1" applyBorder="1"/>
    <xf numFmtId="0" fontId="0" fillId="0" borderId="17" xfId="0" applyBorder="1"/>
    <xf numFmtId="0" fontId="0" fillId="0" borderId="5" xfId="0" applyBorder="1" applyAlignment="1">
      <alignment horizontal="center"/>
    </xf>
    <xf numFmtId="0" fontId="7" fillId="0" borderId="12" xfId="0" applyFont="1" applyBorder="1"/>
    <xf numFmtId="37" fontId="0" fillId="0" borderId="10" xfId="0" applyNumberFormat="1" applyBorder="1"/>
    <xf numFmtId="0" fontId="0" fillId="0" borderId="2" xfId="0" applyBorder="1"/>
    <xf numFmtId="49" fontId="0" fillId="0" borderId="14" xfId="0" applyNumberFormat="1" applyBorder="1" applyAlignment="1">
      <alignment horizontal="right"/>
    </xf>
    <xf numFmtId="49" fontId="0" fillId="0" borderId="0" xfId="0" applyNumberFormat="1" applyAlignment="1">
      <alignment horizontal="left"/>
    </xf>
    <xf numFmtId="37" fontId="0" fillId="0" borderId="12" xfId="0" applyNumberFormat="1" applyBorder="1"/>
    <xf numFmtId="0" fontId="0" fillId="0" borderId="16" xfId="0" applyBorder="1"/>
    <xf numFmtId="49" fontId="0" fillId="0" borderId="3" xfId="0" applyNumberFormat="1" applyBorder="1" applyAlignment="1">
      <alignment horizontal="right"/>
    </xf>
    <xf numFmtId="0" fontId="7" fillId="0" borderId="2" xfId="0" applyFont="1" applyBorder="1"/>
    <xf numFmtId="49" fontId="0" fillId="0" borderId="17" xfId="0" applyNumberFormat="1" applyBorder="1" applyAlignment="1">
      <alignment horizontal="right"/>
    </xf>
    <xf numFmtId="10" fontId="52" fillId="4" borderId="0" xfId="0" applyNumberFormat="1" applyFont="1" applyFill="1"/>
    <xf numFmtId="49" fontId="0" fillId="0" borderId="2" xfId="0" applyNumberFormat="1" applyBorder="1" applyAlignment="1">
      <alignment horizontal="right"/>
    </xf>
    <xf numFmtId="0" fontId="0" fillId="0" borderId="9" xfId="0" applyBorder="1"/>
    <xf numFmtId="0" fontId="0" fillId="0" borderId="4" xfId="0" applyBorder="1"/>
    <xf numFmtId="49" fontId="0" fillId="0" borderId="8" xfId="0" applyNumberFormat="1" applyBorder="1" applyAlignment="1">
      <alignment horizontal="right"/>
    </xf>
    <xf numFmtId="37" fontId="0" fillId="7" borderId="1" xfId="0" applyNumberFormat="1" applyFill="1" applyBorder="1"/>
    <xf numFmtId="0" fontId="27" fillId="6" borderId="4" xfId="6" applyFont="1" applyFill="1" applyBorder="1" applyProtection="1"/>
    <xf numFmtId="37" fontId="0" fillId="8" borderId="1" xfId="0" applyNumberFormat="1" applyFill="1" applyBorder="1"/>
    <xf numFmtId="37" fontId="0" fillId="0" borderId="1" xfId="0" applyNumberFormat="1" applyBorder="1" applyProtection="1">
      <protection locked="0"/>
    </xf>
    <xf numFmtId="0" fontId="9" fillId="0" borderId="0" xfId="0" applyFont="1" applyAlignment="1">
      <alignment horizontal="left"/>
    </xf>
    <xf numFmtId="0" fontId="35" fillId="0" borderId="0" xfId="0" applyFont="1" applyAlignment="1">
      <alignment vertical="center" wrapText="1"/>
    </xf>
    <xf numFmtId="0" fontId="35" fillId="0" borderId="14" xfId="0" applyFont="1" applyBorder="1" applyAlignment="1">
      <alignment vertical="center" wrapText="1"/>
    </xf>
    <xf numFmtId="0" fontId="0" fillId="4" borderId="0" xfId="0" applyFill="1"/>
    <xf numFmtId="0" fontId="0" fillId="0" borderId="0" xfId="0" applyAlignment="1">
      <alignment horizontal="justify" vertical="top" wrapText="1"/>
    </xf>
    <xf numFmtId="0" fontId="0" fillId="0" borderId="0" xfId="0" applyAlignment="1">
      <alignment horizontal="justify" vertical="top"/>
    </xf>
    <xf numFmtId="0" fontId="0" fillId="0" borderId="7" xfId="9" applyFont="1" applyBorder="1" applyAlignment="1">
      <alignment horizontal="centerContinuous"/>
    </xf>
    <xf numFmtId="0" fontId="35" fillId="0" borderId="7" xfId="9" applyFont="1" applyBorder="1" applyAlignment="1">
      <alignment horizontal="centerContinuous"/>
    </xf>
    <xf numFmtId="0" fontId="35" fillId="0" borderId="13" xfId="9" applyFont="1" applyBorder="1" applyAlignment="1">
      <alignment horizontal="centerContinuous"/>
    </xf>
    <xf numFmtId="0" fontId="35" fillId="0" borderId="2" xfId="0" applyFont="1" applyBorder="1" applyAlignment="1">
      <alignment horizontal="center"/>
    </xf>
    <xf numFmtId="0" fontId="7" fillId="0" borderId="2" xfId="9" applyFont="1" applyBorder="1"/>
    <xf numFmtId="0" fontId="35" fillId="0" borderId="0" xfId="9" applyFont="1"/>
    <xf numFmtId="0" fontId="35" fillId="0" borderId="14" xfId="9" applyFont="1" applyBorder="1"/>
    <xf numFmtId="0" fontId="0" fillId="0" borderId="15" xfId="9" applyFont="1" applyBorder="1" applyAlignment="1">
      <alignment horizontal="center"/>
    </xf>
    <xf numFmtId="0" fontId="35" fillId="0" borderId="2" xfId="9" applyFont="1" applyBorder="1" applyAlignment="1">
      <alignment horizontal="center"/>
    </xf>
    <xf numFmtId="0" fontId="35" fillId="0" borderId="3" xfId="9" applyFont="1" applyBorder="1"/>
    <xf numFmtId="0" fontId="35" fillId="0" borderId="17" xfId="9" applyFont="1" applyBorder="1"/>
    <xf numFmtId="0" fontId="35" fillId="0" borderId="13" xfId="0" applyFont="1" applyBorder="1"/>
    <xf numFmtId="0" fontId="35" fillId="0" borderId="2" xfId="9" applyFont="1" applyBorder="1"/>
    <xf numFmtId="0" fontId="0" fillId="0" borderId="14" xfId="0" quotePrefix="1" applyBorder="1" applyAlignment="1">
      <alignment horizontal="right"/>
    </xf>
    <xf numFmtId="0" fontId="35" fillId="6" borderId="0" xfId="0" applyFont="1" applyFill="1"/>
    <xf numFmtId="0" fontId="35" fillId="0" borderId="16" xfId="9" applyFont="1" applyBorder="1"/>
    <xf numFmtId="0" fontId="35" fillId="6" borderId="3" xfId="0" applyFont="1" applyFill="1" applyBorder="1"/>
    <xf numFmtId="0" fontId="0" fillId="0" borderId="17" xfId="0" quotePrefix="1" applyBorder="1" applyAlignment="1">
      <alignment horizontal="right"/>
    </xf>
    <xf numFmtId="0" fontId="0" fillId="0" borderId="8" xfId="0" applyBorder="1"/>
    <xf numFmtId="0" fontId="0" fillId="0" borderId="8" xfId="0" applyBorder="1" applyAlignment="1">
      <alignment horizontal="center"/>
    </xf>
    <xf numFmtId="0" fontId="35" fillId="0" borderId="7" xfId="0" applyFont="1" applyBorder="1"/>
    <xf numFmtId="0" fontId="0" fillId="0" borderId="7" xfId="0" quotePrefix="1" applyBorder="1" applyAlignment="1">
      <alignment horizontal="right"/>
    </xf>
    <xf numFmtId="0" fontId="45" fillId="4" borderId="0" xfId="0" applyFont="1" applyFill="1" applyAlignment="1">
      <alignment vertical="center"/>
    </xf>
    <xf numFmtId="0" fontId="35" fillId="0" borderId="3" xfId="0" applyFont="1" applyBorder="1"/>
    <xf numFmtId="0" fontId="0" fillId="0" borderId="3" xfId="0" quotePrefix="1" applyBorder="1" applyAlignment="1">
      <alignment horizontal="right"/>
    </xf>
    <xf numFmtId="0" fontId="7" fillId="0" borderId="3" xfId="0" applyFont="1" applyBorder="1" applyAlignment="1">
      <alignment vertical="center"/>
    </xf>
    <xf numFmtId="0" fontId="7" fillId="0" borderId="12"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xf>
    <xf numFmtId="0" fontId="7" fillId="0" borderId="0" xfId="0" applyFont="1" applyAlignment="1">
      <alignment vertical="center"/>
    </xf>
    <xf numFmtId="0" fontId="46" fillId="0" borderId="0" xfId="0" applyFont="1" applyAlignment="1">
      <alignment vertical="center"/>
    </xf>
    <xf numFmtId="0" fontId="0" fillId="0" borderId="12" xfId="9" applyFont="1" applyBorder="1"/>
    <xf numFmtId="0" fontId="0" fillId="0" borderId="14" xfId="9" applyFont="1" applyBorder="1" applyAlignment="1">
      <alignment horizontal="center"/>
    </xf>
    <xf numFmtId="167" fontId="0" fillId="0" borderId="7" xfId="9" applyNumberFormat="1" applyFont="1" applyBorder="1"/>
    <xf numFmtId="37" fontId="0" fillId="4" borderId="10" xfId="9" applyNumberFormat="1" applyFont="1" applyFill="1" applyBorder="1"/>
    <xf numFmtId="38" fontId="0" fillId="0" borderId="0" xfId="9" applyNumberFormat="1" applyFont="1" applyAlignment="1">
      <alignment horizontal="right"/>
    </xf>
    <xf numFmtId="167" fontId="0" fillId="0" borderId="0" xfId="9" applyNumberFormat="1" applyFont="1"/>
    <xf numFmtId="167" fontId="0" fillId="0" borderId="0" xfId="9" applyNumberFormat="1" applyFont="1" applyAlignment="1">
      <alignment horizontal="left"/>
    </xf>
    <xf numFmtId="167" fontId="0" fillId="0" borderId="14" xfId="9" applyNumberFormat="1" applyFont="1" applyBorder="1"/>
    <xf numFmtId="37" fontId="0" fillId="8" borderId="5" xfId="9" applyNumberFormat="1" applyFont="1" applyFill="1" applyBorder="1"/>
    <xf numFmtId="167" fontId="0" fillId="0" borderId="17" xfId="9" applyNumberFormat="1" applyFont="1" applyBorder="1"/>
    <xf numFmtId="168" fontId="0" fillId="5" borderId="15" xfId="0" applyNumberFormat="1" applyFill="1" applyBorder="1" applyAlignment="1">
      <alignment horizontal="center"/>
    </xf>
    <xf numFmtId="168" fontId="0" fillId="5" borderId="0" xfId="0" applyNumberFormat="1" applyFill="1"/>
    <xf numFmtId="167" fontId="0" fillId="0" borderId="0" xfId="9" applyNumberFormat="1" applyFont="1" applyAlignment="1">
      <alignment horizontal="right"/>
    </xf>
    <xf numFmtId="168" fontId="0" fillId="5" borderId="2" xfId="0" applyNumberFormat="1" applyFill="1" applyBorder="1"/>
    <xf numFmtId="168" fontId="0" fillId="0" borderId="0" xfId="0" applyNumberFormat="1"/>
    <xf numFmtId="168" fontId="0" fillId="0" borderId="3" xfId="0" applyNumberFormat="1" applyBorder="1"/>
    <xf numFmtId="38" fontId="0" fillId="5" borderId="0" xfId="0" applyNumberFormat="1" applyFill="1"/>
    <xf numFmtId="168" fontId="0" fillId="5" borderId="7" xfId="0" applyNumberFormat="1" applyFill="1" applyBorder="1"/>
    <xf numFmtId="167" fontId="0" fillId="0" borderId="7" xfId="9" applyNumberFormat="1" applyFont="1" applyBorder="1" applyAlignment="1">
      <alignment horizontal="right"/>
    </xf>
    <xf numFmtId="38" fontId="0" fillId="5" borderId="10" xfId="0" applyNumberFormat="1" applyFill="1" applyBorder="1" applyAlignment="1">
      <alignment horizontal="right"/>
    </xf>
    <xf numFmtId="167" fontId="35" fillId="0" borderId="3" xfId="9" applyNumberFormat="1" applyFont="1" applyBorder="1" applyAlignment="1">
      <alignment horizontal="right"/>
    </xf>
    <xf numFmtId="38" fontId="0" fillId="5" borderId="5" xfId="0" applyNumberFormat="1" applyFill="1" applyBorder="1" applyAlignment="1">
      <alignment horizontal="center"/>
    </xf>
    <xf numFmtId="167" fontId="35" fillId="0" borderId="0" xfId="9" applyNumberFormat="1" applyFont="1" applyAlignment="1">
      <alignment horizontal="left"/>
    </xf>
    <xf numFmtId="168" fontId="35" fillId="5" borderId="12" xfId="0" applyNumberFormat="1" applyFont="1" applyFill="1" applyBorder="1"/>
    <xf numFmtId="168" fontId="0" fillId="0" borderId="7" xfId="0" applyNumberFormat="1" applyBorder="1"/>
    <xf numFmtId="167" fontId="0" fillId="0" borderId="13" xfId="9" applyNumberFormat="1" applyFont="1" applyBorder="1" applyAlignment="1">
      <alignment horizontal="right"/>
    </xf>
    <xf numFmtId="37" fontId="0" fillId="9" borderId="5" xfId="9" applyNumberFormat="1" applyFont="1" applyFill="1" applyBorder="1"/>
    <xf numFmtId="167" fontId="0" fillId="0" borderId="2" xfId="9" applyNumberFormat="1" applyFont="1" applyBorder="1" applyAlignment="1">
      <alignment horizontal="left"/>
    </xf>
    <xf numFmtId="168" fontId="35" fillId="5" borderId="2" xfId="0" applyNumberFormat="1" applyFont="1" applyFill="1" applyBorder="1"/>
    <xf numFmtId="167" fontId="0" fillId="0" borderId="14" xfId="9" applyNumberFormat="1" applyFont="1" applyBorder="1" applyAlignment="1">
      <alignment horizontal="right"/>
    </xf>
    <xf numFmtId="167" fontId="0" fillId="0" borderId="17" xfId="9" applyNumberFormat="1" applyFont="1" applyBorder="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vertical="top"/>
    </xf>
    <xf numFmtId="0" fontId="0" fillId="0" borderId="13" xfId="0" applyBorder="1" applyAlignment="1">
      <alignment horizontal="center"/>
    </xf>
    <xf numFmtId="0" fontId="0" fillId="0" borderId="12" xfId="0" applyBorder="1" applyAlignment="1">
      <alignment horizontal="center"/>
    </xf>
    <xf numFmtId="0" fontId="0" fillId="0" borderId="15" xfId="0" applyBorder="1"/>
    <xf numFmtId="167" fontId="0" fillId="0" borderId="17" xfId="0" applyNumberFormat="1" applyBorder="1"/>
    <xf numFmtId="167" fontId="0" fillId="0" borderId="17" xfId="0" applyNumberForma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167" fontId="0" fillId="0" borderId="14" xfId="0" applyNumberFormat="1" applyBorder="1"/>
    <xf numFmtId="37" fontId="0" fillId="9" borderId="1" xfId="0" applyNumberFormat="1" applyFill="1" applyBorder="1"/>
    <xf numFmtId="37" fontId="0" fillId="9" borderId="10" xfId="0" applyNumberFormat="1" applyFill="1" applyBorder="1"/>
    <xf numFmtId="167" fontId="0" fillId="0" borderId="0" xfId="0" applyNumberFormat="1"/>
    <xf numFmtId="37" fontId="0" fillId="10" borderId="10" xfId="0" applyNumberFormat="1" applyFill="1" applyBorder="1"/>
    <xf numFmtId="37" fontId="0" fillId="4" borderId="10" xfId="0" applyNumberFormat="1" applyFill="1" applyBorder="1"/>
    <xf numFmtId="37" fontId="0" fillId="10" borderId="13" xfId="0" applyNumberFormat="1" applyFill="1" applyBorder="1"/>
    <xf numFmtId="37" fontId="0" fillId="10" borderId="15" xfId="0" applyNumberFormat="1" applyFill="1" applyBorder="1"/>
    <xf numFmtId="37" fontId="0" fillId="4" borderId="15" xfId="0" applyNumberFormat="1" applyFill="1" applyBorder="1"/>
    <xf numFmtId="37" fontId="0" fillId="10" borderId="14" xfId="0" applyNumberFormat="1" applyFill="1" applyBorder="1"/>
    <xf numFmtId="37" fontId="0" fillId="10" borderId="5" xfId="0" applyNumberFormat="1" applyFill="1" applyBorder="1"/>
    <xf numFmtId="37" fontId="0" fillId="10" borderId="17" xfId="0" applyNumberFormat="1" applyFill="1" applyBorder="1"/>
    <xf numFmtId="37" fontId="0" fillId="10" borderId="1" xfId="0" applyNumberFormat="1" applyFill="1" applyBorder="1"/>
    <xf numFmtId="37" fontId="0" fillId="9" borderId="9" xfId="0" applyNumberFormat="1" applyFill="1" applyBorder="1"/>
    <xf numFmtId="37" fontId="0" fillId="10" borderId="8" xfId="0" applyNumberFormat="1" applyFill="1" applyBorder="1"/>
    <xf numFmtId="37" fontId="0" fillId="9" borderId="3" xfId="0" applyNumberFormat="1" applyFill="1" applyBorder="1"/>
    <xf numFmtId="167" fontId="0" fillId="0" borderId="0" xfId="0" applyNumberFormat="1" applyAlignment="1">
      <alignment horizontal="left"/>
    </xf>
    <xf numFmtId="167" fontId="0" fillId="0" borderId="8" xfId="0" applyNumberFormat="1" applyBorder="1"/>
    <xf numFmtId="167" fontId="0" fillId="0" borderId="13" xfId="9" applyNumberFormat="1" applyFont="1" applyBorder="1"/>
    <xf numFmtId="37" fontId="0" fillId="9" borderId="5" xfId="0" applyNumberFormat="1" applyFill="1" applyBorder="1"/>
    <xf numFmtId="37" fontId="0" fillId="9" borderId="12" xfId="0" applyNumberFormat="1" applyFill="1" applyBorder="1"/>
    <xf numFmtId="37" fontId="0" fillId="9" borderId="2" xfId="0" applyNumberFormat="1" applyFill="1" applyBorder="1"/>
    <xf numFmtId="37" fontId="0" fillId="9" borderId="16" xfId="0" applyNumberFormat="1" applyFill="1" applyBorder="1"/>
    <xf numFmtId="37" fontId="52" fillId="4" borderId="10" xfId="0" applyNumberFormat="1" applyFont="1" applyFill="1" applyBorder="1"/>
    <xf numFmtId="49" fontId="0" fillId="0" borderId="3" xfId="0" applyNumberFormat="1" applyBorder="1" applyAlignment="1">
      <alignment horizontal="centerContinuous"/>
    </xf>
    <xf numFmtId="0" fontId="7" fillId="0" borderId="0" xfId="0" applyFont="1" applyAlignment="1">
      <alignment horizontal="centerContinuous"/>
    </xf>
    <xf numFmtId="37" fontId="52" fillId="0" borderId="3" xfId="0" applyNumberFormat="1" applyFont="1" applyBorder="1"/>
    <xf numFmtId="49" fontId="33" fillId="6" borderId="0" xfId="6" applyNumberFormat="1" applyFont="1" applyFill="1" applyProtection="1"/>
    <xf numFmtId="0" fontId="33" fillId="6" borderId="0" xfId="6" applyFont="1" applyFill="1" applyProtection="1"/>
    <xf numFmtId="49" fontId="0" fillId="6" borderId="0" xfId="6" applyNumberFormat="1" applyFont="1" applyFill="1" applyProtection="1"/>
    <xf numFmtId="0" fontId="0" fillId="6" borderId="0" xfId="6" applyFont="1" applyFill="1" applyProtection="1"/>
    <xf numFmtId="37" fontId="0" fillId="0" borderId="3" xfId="0" applyNumberFormat="1" applyBorder="1"/>
    <xf numFmtId="164" fontId="0" fillId="0" borderId="0" xfId="0" applyNumberFormat="1" applyAlignment="1">
      <alignment horizontal="center"/>
    </xf>
    <xf numFmtId="0" fontId="44" fillId="4" borderId="0" xfId="0" applyFont="1" applyFill="1"/>
    <xf numFmtId="0" fontId="0" fillId="0" borderId="0" xfId="0" quotePrefix="1"/>
    <xf numFmtId="37" fontId="52" fillId="0" borderId="11" xfId="0" applyNumberFormat="1" applyFont="1" applyBorder="1"/>
    <xf numFmtId="37" fontId="52" fillId="4" borderId="18" xfId="0" applyNumberFormat="1" applyFont="1" applyFill="1" applyBorder="1"/>
    <xf numFmtId="37" fontId="0" fillId="0" borderId="0" xfId="0" applyNumberFormat="1" applyAlignment="1">
      <alignment horizontal="right"/>
    </xf>
    <xf numFmtId="0" fontId="8" fillId="0" borderId="10" xfId="0" applyFont="1" applyBorder="1" applyAlignment="1">
      <alignment horizontal="center" wrapText="1"/>
    </xf>
    <xf numFmtId="0" fontId="8" fillId="0" borderId="15" xfId="0" applyFont="1" applyBorder="1" applyAlignment="1">
      <alignment horizontal="center" wrapText="1"/>
    </xf>
    <xf numFmtId="0" fontId="8" fillId="0" borderId="5" xfId="0" applyFont="1" applyBorder="1" applyAlignment="1">
      <alignment horizontal="center" wrapText="1"/>
    </xf>
    <xf numFmtId="37" fontId="52" fillId="4" borderId="11" xfId="0" applyNumberFormat="1" applyFont="1" applyFill="1" applyBorder="1"/>
    <xf numFmtId="0" fontId="61" fillId="6" borderId="0" xfId="6" applyFont="1" applyFill="1" applyProtection="1"/>
    <xf numFmtId="37" fontId="0" fillId="8" borderId="12" xfId="0" applyNumberFormat="1" applyFill="1" applyBorder="1"/>
    <xf numFmtId="37" fontId="0" fillId="8" borderId="7" xfId="0" applyNumberFormat="1" applyFill="1" applyBorder="1"/>
    <xf numFmtId="37" fontId="0" fillId="8" borderId="13" xfId="0" applyNumberFormat="1" applyFill="1" applyBorder="1"/>
    <xf numFmtId="37" fontId="0" fillId="8" borderId="10" xfId="0" applyNumberFormat="1" applyFill="1" applyBorder="1"/>
    <xf numFmtId="0" fontId="33" fillId="0" borderId="0" xfId="6" applyFont="1" applyProtection="1"/>
    <xf numFmtId="0" fontId="10" fillId="6" borderId="0" xfId="6" applyFill="1" applyProtection="1"/>
    <xf numFmtId="0" fontId="9" fillId="0" borderId="0" xfId="0" applyFont="1"/>
    <xf numFmtId="37" fontId="0" fillId="0" borderId="19" xfId="0" applyNumberFormat="1" applyBorder="1"/>
    <xf numFmtId="49" fontId="19" fillId="0" borderId="0" xfId="0" applyNumberFormat="1" applyFont="1" applyAlignment="1">
      <alignment horizontal="right"/>
    </xf>
    <xf numFmtId="3" fontId="52" fillId="0" borderId="4" xfId="0" applyNumberFormat="1" applyFont="1" applyBorder="1"/>
    <xf numFmtId="0" fontId="33" fillId="0" borderId="0" xfId="0" applyFont="1"/>
    <xf numFmtId="3" fontId="52" fillId="4" borderId="7" xfId="0" applyNumberFormat="1" applyFont="1" applyFill="1" applyBorder="1"/>
    <xf numFmtId="49" fontId="0" fillId="0" borderId="0" xfId="0" quotePrefix="1" applyNumberFormat="1" applyAlignment="1">
      <alignment horizontal="left"/>
    </xf>
    <xf numFmtId="168" fontId="0" fillId="0" borderId="0" xfId="0" applyNumberFormat="1" applyAlignment="1">
      <alignment horizontal="center"/>
    </xf>
    <xf numFmtId="171" fontId="52" fillId="4" borderId="19" xfId="0" applyNumberFormat="1" applyFont="1" applyFill="1" applyBorder="1"/>
    <xf numFmtId="0" fontId="16" fillId="0" borderId="0" xfId="0" applyFont="1"/>
    <xf numFmtId="0" fontId="52" fillId="0" borderId="7" xfId="0" applyFont="1" applyBorder="1"/>
    <xf numFmtId="49" fontId="0" fillId="0" borderId="0" xfId="0" applyNumberFormat="1"/>
    <xf numFmtId="0" fontId="33" fillId="0" borderId="0" xfId="6" applyFont="1" applyFill="1" applyProtection="1"/>
    <xf numFmtId="0" fontId="35" fillId="0" borderId="0" xfId="6" applyFont="1" applyFill="1" applyProtection="1"/>
    <xf numFmtId="0" fontId="14" fillId="6" borderId="1" xfId="6" applyFont="1" applyFill="1" applyBorder="1" applyAlignment="1" applyProtection="1">
      <alignment horizontal="center" wrapText="1"/>
    </xf>
    <xf numFmtId="0" fontId="14" fillId="6" borderId="10" xfId="6" applyFont="1" applyFill="1" applyBorder="1" applyAlignment="1" applyProtection="1">
      <alignment horizontal="center" wrapText="1"/>
    </xf>
    <xf numFmtId="37" fontId="0" fillId="0" borderId="20" xfId="0" applyNumberFormat="1" applyBorder="1"/>
    <xf numFmtId="37" fontId="0" fillId="0" borderId="18" xfId="0" applyNumberFormat="1" applyBorder="1"/>
    <xf numFmtId="0" fontId="0" fillId="0" borderId="14" xfId="0" applyBorder="1" applyAlignment="1">
      <alignment horizontal="center"/>
    </xf>
    <xf numFmtId="37" fontId="52" fillId="8" borderId="1" xfId="0" applyNumberFormat="1" applyFont="1" applyFill="1" applyBorder="1"/>
    <xf numFmtId="37" fontId="0" fillId="7" borderId="10" xfId="0" applyNumberFormat="1" applyFill="1" applyBorder="1"/>
    <xf numFmtId="0" fontId="0" fillId="4" borderId="0" xfId="6" applyFont="1" applyFill="1" applyProtection="1"/>
    <xf numFmtId="37" fontId="0" fillId="7" borderId="11" xfId="0" applyNumberFormat="1" applyFill="1" applyBorder="1"/>
    <xf numFmtId="37" fontId="0" fillId="7" borderId="18" xfId="0" applyNumberFormat="1" applyFill="1" applyBorder="1"/>
    <xf numFmtId="49" fontId="35" fillId="0" borderId="0" xfId="0" applyNumberFormat="1" applyFont="1" applyAlignment="1">
      <alignment horizontal="right"/>
    </xf>
    <xf numFmtId="49" fontId="35" fillId="0" borderId="0" xfId="0" applyNumberFormat="1" applyFont="1"/>
    <xf numFmtId="37" fontId="52" fillId="4" borderId="21" xfId="0" applyNumberFormat="1" applyFont="1" applyFill="1" applyBorder="1"/>
    <xf numFmtId="49" fontId="0" fillId="0" borderId="3" xfId="0" applyNumberFormat="1" applyBorder="1"/>
    <xf numFmtId="168" fontId="7" fillId="5" borderId="0" xfId="0" applyNumberFormat="1" applyFont="1" applyFill="1"/>
    <xf numFmtId="168" fontId="32" fillId="0" borderId="0" xfId="6" applyNumberFormat="1" applyFont="1" applyFill="1" applyProtection="1"/>
    <xf numFmtId="168" fontId="18" fillId="0" borderId="2" xfId="6" applyNumberFormat="1" applyFont="1" applyFill="1" applyBorder="1" applyProtection="1"/>
    <xf numFmtId="168" fontId="35" fillId="5" borderId="0" xfId="0" applyNumberFormat="1" applyFont="1" applyFill="1"/>
    <xf numFmtId="168" fontId="0" fillId="0" borderId="10" xfId="0" applyNumberFormat="1" applyBorder="1" applyAlignment="1">
      <alignment horizontal="center"/>
    </xf>
    <xf numFmtId="2" fontId="0" fillId="0" borderId="10" xfId="0" applyNumberFormat="1" applyBorder="1" applyAlignment="1">
      <alignment horizontal="center"/>
    </xf>
    <xf numFmtId="49" fontId="0" fillId="0" borderId="10" xfId="0" applyNumberFormat="1" applyBorder="1" applyAlignment="1">
      <alignment horizontal="center" wrapText="1"/>
    </xf>
    <xf numFmtId="49" fontId="33" fillId="6" borderId="0" xfId="0" applyNumberFormat="1" applyFont="1" applyFill="1" applyAlignment="1">
      <alignment horizontal="center" wrapText="1"/>
    </xf>
    <xf numFmtId="1" fontId="0" fillId="0" borderId="2" xfId="0" applyNumberFormat="1" applyBorder="1" applyAlignment="1">
      <alignment wrapText="1"/>
    </xf>
    <xf numFmtId="168" fontId="0" fillId="0" borderId="15" xfId="0" applyNumberFormat="1" applyBorder="1" applyAlignment="1">
      <alignment horizontal="center"/>
    </xf>
    <xf numFmtId="2" fontId="0" fillId="0" borderId="15" xfId="0" applyNumberFormat="1" applyBorder="1" applyAlignment="1">
      <alignment horizontal="center"/>
    </xf>
    <xf numFmtId="49" fontId="0" fillId="0" borderId="15" xfId="0" applyNumberFormat="1" applyBorder="1" applyAlignment="1">
      <alignment horizontal="center" wrapText="1"/>
    </xf>
    <xf numFmtId="1" fontId="35" fillId="0" borderId="2" xfId="0" applyNumberFormat="1" applyFont="1" applyBorder="1" applyAlignment="1">
      <alignment wrapText="1"/>
    </xf>
    <xf numFmtId="1" fontId="0" fillId="0" borderId="15" xfId="0" applyNumberFormat="1" applyBorder="1" applyAlignment="1">
      <alignment horizontal="center"/>
    </xf>
    <xf numFmtId="1" fontId="0" fillId="0" borderId="15" xfId="0" applyNumberFormat="1" applyBorder="1" applyAlignment="1">
      <alignment horizontal="center" wrapText="1"/>
    </xf>
    <xf numFmtId="2" fontId="33" fillId="6" borderId="0" xfId="6" applyNumberFormat="1" applyFont="1" applyFill="1" applyBorder="1" applyAlignment="1" applyProtection="1">
      <alignment horizontal="center"/>
    </xf>
    <xf numFmtId="168" fontId="7" fillId="0" borderId="0" xfId="0" applyNumberFormat="1" applyFont="1" applyAlignment="1">
      <alignment horizontal="left"/>
    </xf>
    <xf numFmtId="1" fontId="33" fillId="6" borderId="0" xfId="6" applyNumberFormat="1" applyFont="1" applyFill="1" applyBorder="1" applyAlignment="1" applyProtection="1">
      <alignment horizontal="center"/>
    </xf>
    <xf numFmtId="168" fontId="0" fillId="5" borderId="0" xfId="0" quotePrefix="1" applyNumberFormat="1" applyFill="1" applyAlignment="1">
      <alignment horizontal="right"/>
    </xf>
    <xf numFmtId="168" fontId="0" fillId="5" borderId="0" xfId="0" quotePrefix="1" applyNumberFormat="1" applyFill="1" applyAlignment="1">
      <alignment horizontal="left"/>
    </xf>
    <xf numFmtId="168" fontId="44" fillId="0" borderId="0" xfId="0" applyNumberFormat="1" applyFont="1"/>
    <xf numFmtId="37" fontId="0" fillId="0" borderId="10" xfId="9" applyNumberFormat="1" applyFont="1" applyBorder="1"/>
    <xf numFmtId="168" fontId="0" fillId="5" borderId="2" xfId="0" quotePrefix="1" applyNumberFormat="1" applyFill="1" applyBorder="1" applyAlignment="1">
      <alignment horizontal="left"/>
    </xf>
    <xf numFmtId="1" fontId="0" fillId="5" borderId="0" xfId="0" applyNumberFormat="1" applyFill="1" applyAlignment="1">
      <alignment horizontal="left"/>
    </xf>
    <xf numFmtId="49" fontId="0" fillId="5" borderId="0" xfId="0" quotePrefix="1" applyNumberFormat="1" applyFill="1" applyAlignment="1">
      <alignment horizontal="right"/>
    </xf>
    <xf numFmtId="49" fontId="0" fillId="5" borderId="2" xfId="0" quotePrefix="1" applyNumberFormat="1" applyFill="1" applyBorder="1" applyAlignment="1">
      <alignment horizontal="left"/>
    </xf>
    <xf numFmtId="166" fontId="0" fillId="5" borderId="0" xfId="0" applyNumberFormat="1" applyFill="1" applyAlignment="1">
      <alignment horizontal="left"/>
    </xf>
    <xf numFmtId="168" fontId="0" fillId="0" borderId="0" xfId="0" applyNumberFormat="1" applyAlignment="1">
      <alignment horizontal="left"/>
    </xf>
    <xf numFmtId="49" fontId="0" fillId="5" borderId="0" xfId="0" quotePrefix="1" applyNumberFormat="1" applyFill="1" applyAlignment="1">
      <alignment horizontal="left"/>
    </xf>
    <xf numFmtId="1" fontId="0" fillId="5" borderId="0" xfId="0" applyNumberFormat="1" applyFill="1"/>
    <xf numFmtId="1" fontId="0" fillId="0" borderId="0" xfId="0" applyNumberFormat="1"/>
    <xf numFmtId="168" fontId="35" fillId="0" borderId="0" xfId="0" applyNumberFormat="1" applyFont="1" applyAlignment="1">
      <alignment horizontal="left"/>
    </xf>
    <xf numFmtId="168" fontId="20" fillId="5" borderId="0" xfId="0" applyNumberFormat="1" applyFont="1" applyFill="1"/>
    <xf numFmtId="168" fontId="0" fillId="5" borderId="10" xfId="0" applyNumberFormat="1" applyFill="1" applyBorder="1" applyAlignment="1">
      <alignment horizontal="center"/>
    </xf>
    <xf numFmtId="168" fontId="33" fillId="6" borderId="10" xfId="0" applyNumberFormat="1" applyFont="1" applyFill="1" applyBorder="1"/>
    <xf numFmtId="168" fontId="36" fillId="5" borderId="0" xfId="0" applyNumberFormat="1" applyFont="1" applyFill="1"/>
    <xf numFmtId="168" fontId="33" fillId="6" borderId="0" xfId="6" applyNumberFormat="1" applyFont="1" applyFill="1" applyBorder="1" applyProtection="1"/>
    <xf numFmtId="49" fontId="20" fillId="5" borderId="0" xfId="0" applyNumberFormat="1" applyFont="1" applyFill="1" applyAlignment="1">
      <alignment horizontal="right"/>
    </xf>
    <xf numFmtId="168" fontId="33" fillId="6" borderId="15" xfId="0" applyNumberFormat="1" applyFont="1" applyFill="1" applyBorder="1"/>
    <xf numFmtId="49" fontId="0" fillId="5" borderId="0" xfId="0" applyNumberFormat="1" applyFill="1" applyAlignment="1">
      <alignment horizontal="right"/>
    </xf>
    <xf numFmtId="168" fontId="33" fillId="6" borderId="15" xfId="6" applyNumberFormat="1" applyFont="1" applyFill="1" applyBorder="1" applyAlignment="1" applyProtection="1">
      <alignment horizontal="center"/>
    </xf>
    <xf numFmtId="168" fontId="0" fillId="5" borderId="5" xfId="0" applyNumberFormat="1" applyFill="1" applyBorder="1" applyAlignment="1">
      <alignment horizontal="center"/>
    </xf>
    <xf numFmtId="168" fontId="33" fillId="6" borderId="5" xfId="6" applyNumberFormat="1" applyFont="1" applyFill="1" applyBorder="1" applyAlignment="1" applyProtection="1">
      <alignment horizontal="center"/>
    </xf>
    <xf numFmtId="168" fontId="0" fillId="5" borderId="14" xfId="0" quotePrefix="1" applyNumberFormat="1" applyFill="1" applyBorder="1" applyAlignment="1">
      <alignment horizontal="right"/>
    </xf>
    <xf numFmtId="49" fontId="0" fillId="5" borderId="0" xfId="0" applyNumberFormat="1" applyFill="1" applyAlignment="1">
      <alignment horizontal="left"/>
    </xf>
    <xf numFmtId="38" fontId="0" fillId="0" borderId="0" xfId="0" applyNumberFormat="1"/>
    <xf numFmtId="168" fontId="0" fillId="0" borderId="1" xfId="0" applyNumberFormat="1" applyBorder="1" applyAlignment="1">
      <alignment horizontal="center"/>
    </xf>
    <xf numFmtId="0" fontId="35" fillId="0" borderId="0" xfId="0" quotePrefix="1" applyFont="1" applyAlignment="1">
      <alignment horizontal="right"/>
    </xf>
    <xf numFmtId="1" fontId="0" fillId="5" borderId="0" xfId="0" applyNumberFormat="1" applyFill="1" applyAlignment="1">
      <alignment horizontal="center"/>
    </xf>
    <xf numFmtId="38" fontId="0" fillId="0" borderId="0" xfId="0" applyNumberFormat="1" applyAlignment="1">
      <alignment horizontal="center"/>
    </xf>
    <xf numFmtId="168" fontId="0" fillId="0" borderId="3" xfId="0" applyNumberFormat="1" applyBorder="1" applyAlignment="1">
      <alignment horizontal="center"/>
    </xf>
    <xf numFmtId="168" fontId="33" fillId="6" borderId="0" xfId="6" applyNumberFormat="1" applyFont="1" applyFill="1" applyProtection="1"/>
    <xf numFmtId="168" fontId="36" fillId="6" borderId="0" xfId="0" applyNumberFormat="1" applyFont="1" applyFill="1"/>
    <xf numFmtId="168" fontId="0" fillId="0" borderId="5" xfId="0" applyNumberFormat="1" applyBorder="1" applyAlignment="1">
      <alignment horizontal="center"/>
    </xf>
    <xf numFmtId="168" fontId="35" fillId="5" borderId="0" xfId="0" quotePrefix="1" applyNumberFormat="1" applyFont="1" applyFill="1" applyAlignment="1">
      <alignment horizontal="right"/>
    </xf>
    <xf numFmtId="49" fontId="31" fillId="5" borderId="0" xfId="0" applyNumberFormat="1" applyFont="1" applyFill="1" applyAlignment="1">
      <alignment horizontal="left"/>
    </xf>
    <xf numFmtId="168" fontId="36" fillId="0" borderId="0" xfId="0" applyNumberFormat="1" applyFont="1" applyAlignment="1">
      <alignment vertical="top" wrapText="1"/>
    </xf>
    <xf numFmtId="168" fontId="43" fillId="6" borderId="0" xfId="6" applyNumberFormat="1" applyFont="1" applyFill="1" applyProtection="1"/>
    <xf numFmtId="168" fontId="0" fillId="4" borderId="0" xfId="0" applyNumberFormat="1" applyFill="1"/>
    <xf numFmtId="168" fontId="0" fillId="5" borderId="0" xfId="0" quotePrefix="1" applyNumberFormat="1" applyFill="1"/>
    <xf numFmtId="168" fontId="0" fillId="5" borderId="0" xfId="0" applyNumberFormat="1" applyFill="1" applyAlignment="1">
      <alignment horizontal="right"/>
    </xf>
    <xf numFmtId="0" fontId="55" fillId="0" borderId="0" xfId="10" applyFont="1" applyAlignment="1">
      <alignment horizontal="right"/>
    </xf>
    <xf numFmtId="168" fontId="31" fillId="5" borderId="0" xfId="10" applyNumberFormat="1" applyFont="1" applyFill="1"/>
    <xf numFmtId="168" fontId="31" fillId="0" borderId="0" xfId="10" applyNumberFormat="1" applyFont="1"/>
    <xf numFmtId="0" fontId="0" fillId="0" borderId="3" xfId="11" applyFont="1" applyBorder="1" applyAlignment="1">
      <alignment horizontal="center"/>
    </xf>
    <xf numFmtId="0" fontId="31" fillId="0" borderId="0" xfId="10" applyFont="1" applyAlignment="1">
      <alignment horizontal="center"/>
    </xf>
    <xf numFmtId="168" fontId="55" fillId="5" borderId="0" xfId="10" applyNumberFormat="1" applyFont="1" applyFill="1" applyAlignment="1">
      <alignment horizontal="center"/>
    </xf>
    <xf numFmtId="168" fontId="7" fillId="5" borderId="0" xfId="10" applyNumberFormat="1" applyFont="1" applyFill="1" applyAlignment="1">
      <alignment horizontal="center"/>
    </xf>
    <xf numFmtId="168" fontId="35" fillId="5" borderId="0" xfId="10" applyNumberFormat="1" applyFont="1" applyFill="1"/>
    <xf numFmtId="168" fontId="35" fillId="0" borderId="0" xfId="10" applyNumberFormat="1" applyFont="1"/>
    <xf numFmtId="0" fontId="35" fillId="0" borderId="0" xfId="10" applyFont="1"/>
    <xf numFmtId="0" fontId="55" fillId="0" borderId="0" xfId="10" applyFont="1" applyAlignment="1">
      <alignment horizontal="left"/>
    </xf>
    <xf numFmtId="0" fontId="31" fillId="0" borderId="0" xfId="10" applyFont="1"/>
    <xf numFmtId="14" fontId="31" fillId="5" borderId="0" xfId="10" applyNumberFormat="1" applyFont="1" applyFill="1" applyAlignment="1">
      <alignment horizontal="left"/>
    </xf>
    <xf numFmtId="168" fontId="31" fillId="5" borderId="13" xfId="10" applyNumberFormat="1" applyFont="1" applyFill="1" applyBorder="1"/>
    <xf numFmtId="168" fontId="55" fillId="5" borderId="1" xfId="10" applyNumberFormat="1" applyFont="1" applyFill="1" applyBorder="1" applyAlignment="1">
      <alignment horizontal="center"/>
    </xf>
    <xf numFmtId="168" fontId="31" fillId="0" borderId="10" xfId="10" applyNumberFormat="1" applyFont="1" applyBorder="1" applyAlignment="1">
      <alignment horizontal="center"/>
    </xf>
    <xf numFmtId="2" fontId="31" fillId="0" borderId="10" xfId="10" applyNumberFormat="1" applyFont="1" applyBorder="1" applyAlignment="1">
      <alignment horizontal="center"/>
    </xf>
    <xf numFmtId="49" fontId="55" fillId="6" borderId="10" xfId="10" applyNumberFormat="1" applyFont="1" applyFill="1" applyBorder="1" applyAlignment="1">
      <alignment horizontal="center" wrapText="1"/>
    </xf>
    <xf numFmtId="168" fontId="31" fillId="0" borderId="15" xfId="10" applyNumberFormat="1" applyFont="1" applyBorder="1" applyAlignment="1">
      <alignment horizontal="center"/>
    </xf>
    <xf numFmtId="2" fontId="31" fillId="0" borderId="15" xfId="10" applyNumberFormat="1" applyFont="1" applyBorder="1" applyAlignment="1">
      <alignment horizontal="center"/>
    </xf>
    <xf numFmtId="49" fontId="31" fillId="0" borderId="15" xfId="10" applyNumberFormat="1" applyFont="1" applyBorder="1" applyAlignment="1">
      <alignment horizontal="center" wrapText="1"/>
    </xf>
    <xf numFmtId="49" fontId="55" fillId="6" borderId="15" xfId="10" applyNumberFormat="1" applyFont="1" applyFill="1" applyBorder="1" applyAlignment="1">
      <alignment horizontal="center" wrapText="1"/>
    </xf>
    <xf numFmtId="165" fontId="0" fillId="5" borderId="15" xfId="10" applyNumberFormat="1" applyFont="1" applyFill="1" applyBorder="1" applyAlignment="1">
      <alignment horizontal="center"/>
    </xf>
    <xf numFmtId="1" fontId="31" fillId="0" borderId="15" xfId="10" applyNumberFormat="1" applyFont="1" applyBorder="1" applyAlignment="1">
      <alignment horizontal="center"/>
    </xf>
    <xf numFmtId="0" fontId="14" fillId="6" borderId="0" xfId="6" applyFont="1" applyFill="1" applyAlignment="1" applyProtection="1">
      <alignment horizontal="center" vertical="center"/>
    </xf>
    <xf numFmtId="1" fontId="31" fillId="0" borderId="5" xfId="10" applyNumberFormat="1" applyFont="1" applyBorder="1" applyAlignment="1">
      <alignment horizontal="center"/>
    </xf>
    <xf numFmtId="165" fontId="0" fillId="5" borderId="5" xfId="10" applyNumberFormat="1" applyFont="1" applyFill="1" applyBorder="1" applyAlignment="1">
      <alignment horizontal="center"/>
    </xf>
    <xf numFmtId="168" fontId="31" fillId="5" borderId="12" xfId="10" applyNumberFormat="1" applyFont="1" applyFill="1" applyBorder="1" applyAlignment="1">
      <alignment horizontal="left"/>
    </xf>
    <xf numFmtId="168" fontId="31" fillId="5" borderId="7" xfId="10" applyNumberFormat="1" applyFont="1" applyFill="1" applyBorder="1" applyAlignment="1">
      <alignment horizontal="left"/>
    </xf>
    <xf numFmtId="168" fontId="31" fillId="5" borderId="13" xfId="10" quotePrefix="1" applyNumberFormat="1" applyFont="1" applyFill="1" applyBorder="1" applyAlignment="1">
      <alignment horizontal="right"/>
    </xf>
    <xf numFmtId="37" fontId="31" fillId="0" borderId="1" xfId="10" applyNumberFormat="1" applyFont="1" applyBorder="1" applyAlignment="1">
      <alignment horizontal="right" vertical="center"/>
    </xf>
    <xf numFmtId="37" fontId="31" fillId="8" borderId="1" xfId="10" applyNumberFormat="1" applyFont="1" applyFill="1" applyBorder="1" applyAlignment="1">
      <alignment horizontal="right" vertical="center"/>
    </xf>
    <xf numFmtId="37" fontId="55" fillId="0" borderId="1" xfId="10" applyNumberFormat="1" applyFont="1" applyBorder="1" applyAlignment="1">
      <alignment horizontal="right" vertical="center"/>
    </xf>
    <xf numFmtId="168" fontId="31" fillId="5" borderId="0" xfId="10" quotePrefix="1" applyNumberFormat="1" applyFont="1" applyFill="1" applyAlignment="1">
      <alignment horizontal="left"/>
    </xf>
    <xf numFmtId="168" fontId="31" fillId="5" borderId="2" xfId="10" applyNumberFormat="1" applyFont="1" applyFill="1" applyBorder="1" applyAlignment="1">
      <alignment horizontal="left"/>
    </xf>
    <xf numFmtId="168" fontId="31" fillId="5" borderId="14" xfId="10" quotePrefix="1" applyNumberFormat="1" applyFont="1" applyFill="1" applyBorder="1" applyAlignment="1">
      <alignment horizontal="right"/>
    </xf>
    <xf numFmtId="37" fontId="0" fillId="0" borderId="1" xfId="10" applyNumberFormat="1" applyFont="1" applyBorder="1" applyAlignment="1">
      <alignment horizontal="right" vertical="center"/>
    </xf>
    <xf numFmtId="168" fontId="35" fillId="11" borderId="0" xfId="10" applyNumberFormat="1" applyFont="1" applyFill="1"/>
    <xf numFmtId="1" fontId="31" fillId="5" borderId="2" xfId="10" applyNumberFormat="1" applyFont="1" applyFill="1" applyBorder="1" applyAlignment="1">
      <alignment horizontal="left"/>
    </xf>
    <xf numFmtId="1" fontId="31" fillId="5" borderId="0" xfId="10" applyNumberFormat="1" applyFont="1" applyFill="1" applyAlignment="1">
      <alignment horizontal="left"/>
    </xf>
    <xf numFmtId="49" fontId="31" fillId="5" borderId="14" xfId="10" quotePrefix="1" applyNumberFormat="1" applyFont="1" applyFill="1" applyBorder="1" applyAlignment="1">
      <alignment horizontal="right"/>
    </xf>
    <xf numFmtId="49" fontId="31" fillId="5" borderId="0" xfId="10" quotePrefix="1" applyNumberFormat="1" applyFont="1" applyFill="1" applyAlignment="1">
      <alignment horizontal="left"/>
    </xf>
    <xf numFmtId="168" fontId="31" fillId="0" borderId="2" xfId="10" applyNumberFormat="1" applyFont="1" applyBorder="1" applyAlignment="1">
      <alignment horizontal="left"/>
    </xf>
    <xf numFmtId="168" fontId="31" fillId="0" borderId="0" xfId="10" applyNumberFormat="1" applyFont="1" applyAlignment="1">
      <alignment horizontal="left"/>
    </xf>
    <xf numFmtId="0" fontId="54" fillId="6" borderId="2" xfId="6" applyFont="1" applyFill="1" applyBorder="1" applyProtection="1"/>
    <xf numFmtId="168" fontId="31" fillId="6" borderId="0" xfId="10" applyNumberFormat="1" applyFont="1" applyFill="1" applyAlignment="1">
      <alignment horizontal="left"/>
    </xf>
    <xf numFmtId="49" fontId="31" fillId="6" borderId="14" xfId="10" quotePrefix="1" applyNumberFormat="1" applyFont="1" applyFill="1" applyBorder="1" applyAlignment="1">
      <alignment horizontal="right"/>
    </xf>
    <xf numFmtId="168" fontId="31" fillId="0" borderId="16" xfId="10" applyNumberFormat="1" applyFont="1" applyBorder="1" applyAlignment="1">
      <alignment horizontal="left"/>
    </xf>
    <xf numFmtId="168" fontId="31" fillId="0" borderId="3" xfId="10" applyNumberFormat="1" applyFont="1" applyBorder="1" applyAlignment="1">
      <alignment horizontal="left"/>
    </xf>
    <xf numFmtId="49" fontId="31" fillId="5" borderId="17" xfId="10" quotePrefix="1" applyNumberFormat="1" applyFont="1" applyFill="1" applyBorder="1" applyAlignment="1">
      <alignment horizontal="right"/>
    </xf>
    <xf numFmtId="37" fontId="55" fillId="0" borderId="1" xfId="10" applyNumberFormat="1" applyFont="1" applyBorder="1"/>
    <xf numFmtId="49" fontId="31" fillId="5" borderId="0" xfId="10" quotePrefix="1" applyNumberFormat="1" applyFont="1" applyFill="1" applyAlignment="1">
      <alignment horizontal="right"/>
    </xf>
    <xf numFmtId="0" fontId="57" fillId="6" borderId="9" xfId="6" applyFont="1" applyFill="1" applyBorder="1" applyProtection="1"/>
    <xf numFmtId="0" fontId="7" fillId="6" borderId="4" xfId="10" applyFont="1" applyFill="1" applyBorder="1"/>
    <xf numFmtId="0" fontId="7" fillId="6" borderId="8" xfId="10" applyFont="1" applyFill="1" applyBorder="1"/>
    <xf numFmtId="168" fontId="55" fillId="5" borderId="9" xfId="10" applyNumberFormat="1" applyFont="1" applyFill="1" applyBorder="1"/>
    <xf numFmtId="168" fontId="55" fillId="5" borderId="4" xfId="10" applyNumberFormat="1" applyFont="1" applyFill="1" applyBorder="1"/>
    <xf numFmtId="168" fontId="31" fillId="5" borderId="8" xfId="10" applyNumberFormat="1" applyFont="1" applyFill="1" applyBorder="1" applyAlignment="1">
      <alignment horizontal="center"/>
    </xf>
    <xf numFmtId="168" fontId="31" fillId="5" borderId="16" xfId="10" applyNumberFormat="1" applyFont="1" applyFill="1" applyBorder="1"/>
    <xf numFmtId="168" fontId="31" fillId="5" borderId="3" xfId="10" applyNumberFormat="1" applyFont="1" applyFill="1" applyBorder="1"/>
    <xf numFmtId="168" fontId="31" fillId="5" borderId="17" xfId="10" applyNumberFormat="1" applyFont="1" applyFill="1" applyBorder="1"/>
    <xf numFmtId="168" fontId="31" fillId="5" borderId="9" xfId="10" applyNumberFormat="1" applyFont="1" applyFill="1" applyBorder="1"/>
    <xf numFmtId="168" fontId="31" fillId="5" borderId="4" xfId="10" applyNumberFormat="1" applyFont="1" applyFill="1" applyBorder="1"/>
    <xf numFmtId="168" fontId="31" fillId="5" borderId="8" xfId="10" applyNumberFormat="1" applyFont="1" applyFill="1" applyBorder="1"/>
    <xf numFmtId="0" fontId="31" fillId="0" borderId="9" xfId="10" applyFont="1" applyBorder="1"/>
    <xf numFmtId="0" fontId="31" fillId="0" borderId="4" xfId="10" applyFont="1" applyBorder="1"/>
    <xf numFmtId="168" fontId="31" fillId="0" borderId="8" xfId="10" applyNumberFormat="1" applyFont="1" applyBorder="1"/>
    <xf numFmtId="37" fontId="31" fillId="5" borderId="1" xfId="10" applyNumberFormat="1" applyFont="1" applyFill="1" applyBorder="1"/>
    <xf numFmtId="168" fontId="31" fillId="0" borderId="9" xfId="10" applyNumberFormat="1" applyFont="1" applyBorder="1"/>
    <xf numFmtId="168" fontId="31" fillId="0" borderId="4" xfId="10" applyNumberFormat="1" applyFont="1" applyBorder="1"/>
    <xf numFmtId="168" fontId="31" fillId="5" borderId="12" xfId="10" applyNumberFormat="1" applyFont="1" applyFill="1" applyBorder="1"/>
    <xf numFmtId="168" fontId="31" fillId="5" borderId="7" xfId="10" applyNumberFormat="1" applyFont="1" applyFill="1" applyBorder="1"/>
    <xf numFmtId="168" fontId="31" fillId="0" borderId="13" xfId="10" applyNumberFormat="1" applyFont="1" applyBorder="1"/>
    <xf numFmtId="0" fontId="54" fillId="6" borderId="9" xfId="6" applyFont="1" applyFill="1" applyBorder="1" applyProtection="1"/>
    <xf numFmtId="168" fontId="31" fillId="6" borderId="4" xfId="10" applyNumberFormat="1" applyFont="1" applyFill="1" applyBorder="1"/>
    <xf numFmtId="168" fontId="31" fillId="6" borderId="8" xfId="10" applyNumberFormat="1" applyFont="1" applyFill="1" applyBorder="1"/>
    <xf numFmtId="38" fontId="31" fillId="0" borderId="0" xfId="10" applyNumberFormat="1" applyFont="1" applyAlignment="1">
      <alignment horizontal="right" vertical="center"/>
    </xf>
    <xf numFmtId="168" fontId="31" fillId="5" borderId="0" xfId="10" quotePrefix="1" applyNumberFormat="1" applyFont="1" applyFill="1"/>
    <xf numFmtId="168" fontId="31" fillId="5" borderId="9" xfId="10" quotePrefix="1" applyNumberFormat="1" applyFont="1" applyFill="1" applyBorder="1"/>
    <xf numFmtId="37" fontId="31" fillId="0" borderId="1" xfId="10" applyNumberFormat="1" applyFont="1" applyBorder="1" applyAlignment="1">
      <alignment horizontal="right"/>
    </xf>
    <xf numFmtId="0" fontId="31" fillId="0" borderId="0" xfId="4" quotePrefix="1" applyNumberFormat="1" applyFont="1" applyFill="1" applyBorder="1" applyAlignment="1" applyProtection="1">
      <alignment horizontal="left"/>
    </xf>
    <xf numFmtId="168" fontId="31" fillId="0" borderId="0" xfId="10" applyNumberFormat="1" applyFont="1" applyAlignment="1">
      <alignment wrapText="1"/>
    </xf>
    <xf numFmtId="0" fontId="46" fillId="0" borderId="0" xfId="4" quotePrefix="1" applyNumberFormat="1" applyFont="1" applyFill="1" applyBorder="1" applyAlignment="1" applyProtection="1">
      <alignment vertical="center" wrapText="1"/>
    </xf>
    <xf numFmtId="168" fontId="46" fillId="4" borderId="0" xfId="10" applyNumberFormat="1" applyFont="1" applyFill="1" applyAlignment="1">
      <alignment vertical="center" wrapText="1"/>
    </xf>
    <xf numFmtId="168" fontId="46" fillId="0" borderId="0" xfId="10" applyNumberFormat="1" applyFont="1" applyAlignment="1">
      <alignment wrapText="1"/>
    </xf>
    <xf numFmtId="37" fontId="55" fillId="0" borderId="1" xfId="10" applyNumberFormat="1" applyFont="1" applyBorder="1" applyAlignment="1">
      <alignment horizontal="right"/>
    </xf>
    <xf numFmtId="168" fontId="31" fillId="0" borderId="0" xfId="10" applyNumberFormat="1" applyFont="1" applyAlignment="1">
      <alignment horizontal="right"/>
    </xf>
    <xf numFmtId="0" fontId="0" fillId="0" borderId="0" xfId="10" applyFont="1" applyAlignment="1">
      <alignment vertical="top"/>
    </xf>
    <xf numFmtId="0" fontId="35" fillId="0" borderId="0" xfId="10" applyFont="1" applyAlignment="1">
      <alignment vertical="top"/>
    </xf>
    <xf numFmtId="37" fontId="31" fillId="0" borderId="1" xfId="4" applyNumberFormat="1" applyFont="1" applyBorder="1" applyProtection="1">
      <protection locked="0"/>
    </xf>
    <xf numFmtId="172" fontId="31" fillId="0" borderId="1" xfId="4" applyNumberFormat="1" applyFont="1" applyBorder="1" applyProtection="1">
      <protection locked="0"/>
    </xf>
    <xf numFmtId="37" fontId="31" fillId="0" borderId="1" xfId="4" applyNumberFormat="1" applyFont="1" applyBorder="1" applyProtection="1"/>
    <xf numFmtId="0" fontId="7" fillId="0" borderId="0" xfId="13" applyFont="1"/>
    <xf numFmtId="0" fontId="65" fillId="0" borderId="0" xfId="13"/>
    <xf numFmtId="168" fontId="7" fillId="5" borderId="0" xfId="13" applyNumberFormat="1" applyFont="1" applyFill="1" applyAlignment="1">
      <alignment horizontal="left"/>
    </xf>
    <xf numFmtId="0" fontId="14" fillId="6" borderId="0" xfId="6" applyFont="1" applyFill="1" applyAlignment="1" applyProtection="1">
      <alignment horizontal="right"/>
    </xf>
    <xf numFmtId="0" fontId="65" fillId="0" borderId="0" xfId="13" applyAlignment="1">
      <alignment horizontal="right" vertical="center"/>
    </xf>
    <xf numFmtId="37" fontId="29" fillId="5" borderId="0" xfId="13" applyNumberFormat="1" applyFont="1" applyFill="1" applyAlignment="1">
      <alignment horizontal="left" vertical="center"/>
    </xf>
    <xf numFmtId="168" fontId="65" fillId="5" borderId="22" xfId="13" applyNumberFormat="1" applyFill="1" applyBorder="1"/>
    <xf numFmtId="168" fontId="65" fillId="6" borderId="22" xfId="13" applyNumberFormat="1" applyFill="1" applyBorder="1"/>
    <xf numFmtId="168" fontId="54" fillId="6" borderId="22" xfId="6" applyNumberFormat="1" applyFont="1" applyFill="1" applyBorder="1" applyAlignment="1" applyProtection="1">
      <alignment horizontal="center"/>
    </xf>
    <xf numFmtId="37" fontId="50" fillId="0" borderId="23" xfId="13" applyNumberFormat="1" applyFont="1" applyBorder="1" applyAlignment="1">
      <alignment horizontal="center"/>
    </xf>
    <xf numFmtId="37" fontId="50" fillId="0" borderId="10" xfId="13" applyNumberFormat="1" applyFont="1" applyBorder="1" applyAlignment="1">
      <alignment horizontal="center"/>
    </xf>
    <xf numFmtId="37" fontId="50" fillId="5" borderId="24" xfId="13" applyNumberFormat="1" applyFont="1" applyFill="1" applyBorder="1" applyAlignment="1">
      <alignment horizontal="center"/>
    </xf>
    <xf numFmtId="37" fontId="50" fillId="5" borderId="25" xfId="13" applyNumberFormat="1" applyFont="1" applyFill="1" applyBorder="1" applyAlignment="1">
      <alignment horizontal="left"/>
    </xf>
    <xf numFmtId="37" fontId="54" fillId="6" borderId="25" xfId="6" applyNumberFormat="1" applyFont="1" applyFill="1" applyBorder="1" applyAlignment="1" applyProtection="1">
      <alignment horizontal="center" vertical="center"/>
    </xf>
    <xf numFmtId="37" fontId="54" fillId="6" borderId="25" xfId="6" applyNumberFormat="1" applyFont="1" applyFill="1" applyBorder="1" applyAlignment="1" applyProtection="1">
      <alignment horizontal="center"/>
    </xf>
    <xf numFmtId="38" fontId="50" fillId="0" borderId="26" xfId="13" applyNumberFormat="1" applyFont="1" applyBorder="1" applyAlignment="1">
      <alignment horizontal="center"/>
    </xf>
    <xf numFmtId="37" fontId="50" fillId="0" borderId="15" xfId="13" applyNumberFormat="1" applyFont="1" applyBorder="1" applyAlignment="1">
      <alignment horizontal="center"/>
    </xf>
    <xf numFmtId="37" fontId="50" fillId="5" borderId="15" xfId="13" applyNumberFormat="1" applyFont="1" applyFill="1" applyBorder="1" applyAlignment="1">
      <alignment horizontal="center"/>
    </xf>
    <xf numFmtId="37" fontId="50" fillId="5" borderId="27" xfId="13" applyNumberFormat="1" applyFont="1" applyFill="1" applyBorder="1" applyAlignment="1">
      <alignment horizontal="center"/>
    </xf>
    <xf numFmtId="38" fontId="54" fillId="6" borderId="28" xfId="6" applyNumberFormat="1" applyFont="1" applyFill="1" applyBorder="1" applyAlignment="1" applyProtection="1">
      <alignment horizontal="center" vertical="center"/>
    </xf>
    <xf numFmtId="38" fontId="54" fillId="6" borderId="28" xfId="6" applyNumberFormat="1" applyFont="1" applyFill="1" applyBorder="1" applyAlignment="1" applyProtection="1">
      <alignment horizontal="center"/>
    </xf>
    <xf numFmtId="38" fontId="50" fillId="0" borderId="29" xfId="13" applyNumberFormat="1" applyFont="1" applyBorder="1" applyAlignment="1">
      <alignment horizontal="center"/>
    </xf>
    <xf numFmtId="37" fontId="50" fillId="0" borderId="5" xfId="13" applyNumberFormat="1" applyFont="1" applyBorder="1" applyAlignment="1">
      <alignment horizontal="center"/>
    </xf>
    <xf numFmtId="38" fontId="50" fillId="5" borderId="5" xfId="13" applyNumberFormat="1" applyFont="1" applyFill="1" applyBorder="1" applyAlignment="1">
      <alignment horizontal="center"/>
    </xf>
    <xf numFmtId="37" fontId="50" fillId="5" borderId="29" xfId="13" applyNumberFormat="1" applyFont="1" applyFill="1" applyBorder="1" applyAlignment="1">
      <alignment horizontal="left"/>
    </xf>
    <xf numFmtId="37" fontId="50" fillId="7" borderId="1" xfId="13" applyNumberFormat="1" applyFont="1" applyFill="1" applyBorder="1"/>
    <xf numFmtId="37" fontId="50" fillId="7" borderId="5" xfId="13" applyNumberFormat="1" applyFont="1" applyFill="1" applyBorder="1"/>
    <xf numFmtId="37" fontId="50" fillId="7" borderId="16" xfId="13" applyNumberFormat="1" applyFont="1" applyFill="1" applyBorder="1"/>
    <xf numFmtId="37" fontId="51" fillId="8" borderId="9" xfId="13" applyNumberFormat="1" applyFont="1" applyFill="1" applyBorder="1" applyAlignment="1">
      <alignment horizontal="center"/>
    </xf>
    <xf numFmtId="37" fontId="50" fillId="5" borderId="24" xfId="13" applyNumberFormat="1" applyFont="1" applyFill="1" applyBorder="1"/>
    <xf numFmtId="37" fontId="50" fillId="5" borderId="13" xfId="13" applyNumberFormat="1" applyFont="1" applyFill="1" applyBorder="1"/>
    <xf numFmtId="37" fontId="51" fillId="8" borderId="8" xfId="13" applyNumberFormat="1" applyFont="1" applyFill="1" applyBorder="1" applyAlignment="1">
      <alignment horizontal="center"/>
    </xf>
    <xf numFmtId="37" fontId="50" fillId="7" borderId="9" xfId="13" applyNumberFormat="1" applyFont="1" applyFill="1" applyBorder="1"/>
    <xf numFmtId="37" fontId="50" fillId="5" borderId="30" xfId="13" applyNumberFormat="1" applyFont="1" applyFill="1" applyBorder="1"/>
    <xf numFmtId="165" fontId="65" fillId="0" borderId="0" xfId="13" applyNumberFormat="1"/>
    <xf numFmtId="37" fontId="50" fillId="0" borderId="24" xfId="13" applyNumberFormat="1" applyFont="1" applyBorder="1"/>
    <xf numFmtId="37" fontId="50" fillId="5" borderId="26" xfId="13" applyNumberFormat="1" applyFont="1" applyFill="1" applyBorder="1" applyAlignment="1">
      <alignment horizontal="left"/>
    </xf>
    <xf numFmtId="37" fontId="50" fillId="7" borderId="10" xfId="13" applyNumberFormat="1" applyFont="1" applyFill="1" applyBorder="1"/>
    <xf numFmtId="37" fontId="50" fillId="7" borderId="12" xfId="13" applyNumberFormat="1" applyFont="1" applyFill="1" applyBorder="1"/>
    <xf numFmtId="37" fontId="50" fillId="0" borderId="31" xfId="13" applyNumberFormat="1" applyFont="1" applyBorder="1"/>
    <xf numFmtId="37" fontId="50" fillId="5" borderId="32" xfId="13" applyNumberFormat="1" applyFont="1" applyFill="1" applyBorder="1"/>
    <xf numFmtId="42" fontId="65" fillId="5" borderId="3" xfId="13" applyNumberFormat="1" applyFill="1" applyBorder="1"/>
    <xf numFmtId="37" fontId="50" fillId="0" borderId="1" xfId="13" applyNumberFormat="1" applyFont="1" applyBorder="1" applyAlignment="1">
      <alignment horizontal="left"/>
    </xf>
    <xf numFmtId="37" fontId="51" fillId="8" borderId="1" xfId="13" applyNumberFormat="1" applyFont="1" applyFill="1" applyBorder="1" applyAlignment="1">
      <alignment horizontal="center"/>
    </xf>
    <xf numFmtId="37" fontId="50" fillId="0" borderId="17" xfId="13" applyNumberFormat="1" applyFont="1" applyBorder="1"/>
    <xf numFmtId="37" fontId="50" fillId="5" borderId="16" xfId="13" applyNumberFormat="1" applyFont="1" applyFill="1" applyBorder="1"/>
    <xf numFmtId="37" fontId="50" fillId="7" borderId="1" xfId="13" applyNumberFormat="1" applyFont="1" applyFill="1" applyBorder="1" applyAlignment="1">
      <alignment horizontal="center"/>
    </xf>
    <xf numFmtId="37" fontId="50" fillId="0" borderId="9" xfId="13" applyNumberFormat="1" applyFont="1" applyBorder="1" applyAlignment="1">
      <alignment horizontal="left"/>
    </xf>
    <xf numFmtId="37" fontId="50" fillId="0" borderId="1" xfId="13" applyNumberFormat="1" applyFont="1" applyBorder="1"/>
    <xf numFmtId="37" fontId="50" fillId="5" borderId="1" xfId="13" applyNumberFormat="1" applyFont="1" applyFill="1" applyBorder="1"/>
    <xf numFmtId="37" fontId="50" fillId="0" borderId="8" xfId="13" applyNumberFormat="1" applyFont="1" applyBorder="1"/>
    <xf numFmtId="37" fontId="50" fillId="5" borderId="9" xfId="13" applyNumberFormat="1" applyFont="1" applyFill="1" applyBorder="1"/>
    <xf numFmtId="37" fontId="50" fillId="5" borderId="8" xfId="13" applyNumberFormat="1" applyFont="1" applyFill="1" applyBorder="1"/>
    <xf numFmtId="37" fontId="50" fillId="0" borderId="1" xfId="13" applyNumberFormat="1" applyFont="1" applyBorder="1" applyProtection="1">
      <protection locked="0"/>
    </xf>
    <xf numFmtId="0" fontId="0" fillId="0" borderId="0" xfId="11" applyFont="1" applyAlignment="1">
      <alignment horizontal="center"/>
    </xf>
    <xf numFmtId="0" fontId="31" fillId="0" borderId="0" xfId="8" applyFont="1"/>
    <xf numFmtId="37" fontId="31" fillId="0" borderId="0" xfId="8" applyNumberFormat="1" applyFont="1"/>
    <xf numFmtId="0" fontId="55" fillId="0" borderId="0" xfId="8" applyFont="1" applyAlignment="1">
      <alignment horizontal="right"/>
    </xf>
    <xf numFmtId="0" fontId="0" fillId="0" borderId="0" xfId="4" applyNumberFormat="1" applyFont="1" applyBorder="1" applyAlignment="1" applyProtection="1">
      <alignment horizontal="left" vertical="top"/>
    </xf>
    <xf numFmtId="37" fontId="31" fillId="0" borderId="0" xfId="8" applyNumberFormat="1" applyFont="1" applyAlignment="1">
      <alignment horizontal="left"/>
    </xf>
    <xf numFmtId="0" fontId="35" fillId="0" borderId="0" xfId="8" applyFont="1"/>
    <xf numFmtId="37" fontId="55" fillId="0" borderId="0" xfId="8" applyNumberFormat="1" applyFont="1" applyAlignment="1">
      <alignment horizontal="left"/>
    </xf>
    <xf numFmtId="0" fontId="55" fillId="12" borderId="1" xfId="0" applyFont="1" applyFill="1" applyBorder="1" applyAlignment="1">
      <alignment horizontal="center" wrapText="1"/>
    </xf>
    <xf numFmtId="0" fontId="55" fillId="0" borderId="0" xfId="0" applyFont="1" applyAlignment="1">
      <alignment horizontal="left" vertical="top"/>
    </xf>
    <xf numFmtId="0" fontId="55" fillId="0" borderId="0" xfId="0" applyFont="1" applyAlignment="1">
      <alignment wrapText="1"/>
    </xf>
    <xf numFmtId="168" fontId="14" fillId="6" borderId="0" xfId="6" quotePrefix="1" applyNumberFormat="1" applyFont="1" applyFill="1" applyAlignment="1" applyProtection="1">
      <alignment horizontal="right"/>
    </xf>
    <xf numFmtId="0" fontId="0" fillId="0" borderId="0" xfId="0" applyAlignment="1">
      <alignment horizontal="left" vertical="top"/>
    </xf>
    <xf numFmtId="0" fontId="7" fillId="0" borderId="0" xfId="0" quotePrefix="1" applyFont="1" applyAlignment="1">
      <alignment horizontal="left"/>
    </xf>
    <xf numFmtId="0" fontId="58" fillId="0" borderId="0" xfId="0" applyFont="1"/>
    <xf numFmtId="49" fontId="31" fillId="0" borderId="0" xfId="6" applyNumberFormat="1" applyFont="1" applyFill="1" applyAlignment="1" applyProtection="1">
      <alignment horizontal="center" vertical="top"/>
    </xf>
    <xf numFmtId="0" fontId="55" fillId="0" borderId="0" xfId="0" applyFont="1" applyAlignment="1">
      <alignment horizontal="center" wrapText="1"/>
    </xf>
    <xf numFmtId="49" fontId="14" fillId="0" borderId="0" xfId="6" applyNumberFormat="1" applyFont="1" applyFill="1" applyAlignment="1" applyProtection="1">
      <alignment horizontal="center" vertical="top"/>
    </xf>
    <xf numFmtId="0" fontId="0" fillId="0" borderId="0" xfId="0" applyAlignment="1">
      <alignment vertical="top" wrapText="1"/>
    </xf>
    <xf numFmtId="0" fontId="0" fillId="0" borderId="0" xfId="0" applyAlignment="1">
      <alignment horizontal="right" vertical="top"/>
    </xf>
    <xf numFmtId="170" fontId="0" fillId="0" borderId="0" xfId="2" applyNumberFormat="1" applyFont="1" applyFill="1" applyBorder="1" applyAlignment="1" applyProtection="1">
      <alignment vertical="top"/>
    </xf>
    <xf numFmtId="0" fontId="0" fillId="0" borderId="0" xfId="0" quotePrefix="1" applyAlignment="1">
      <alignment horizontal="center"/>
    </xf>
    <xf numFmtId="0" fontId="0" fillId="0" borderId="1" xfId="0" applyBorder="1" applyAlignment="1" applyProtection="1">
      <alignment horizontal="center" vertical="center"/>
      <protection locked="0"/>
    </xf>
    <xf numFmtId="0" fontId="12" fillId="0" borderId="0" xfId="0" applyFont="1" applyAlignment="1">
      <alignment vertical="top"/>
    </xf>
    <xf numFmtId="0" fontId="47" fillId="0" borderId="0" xfId="0" applyFont="1" applyAlignment="1">
      <alignment vertical="top" wrapText="1"/>
    </xf>
    <xf numFmtId="0" fontId="0" fillId="0" borderId="0" xfId="0" applyAlignment="1">
      <alignment vertical="center" wrapText="1"/>
    </xf>
    <xf numFmtId="0" fontId="21" fillId="0" borderId="1" xfId="6" applyFont="1" applyBorder="1" applyProtection="1"/>
    <xf numFmtId="0" fontId="39" fillId="0" borderId="1" xfId="7" applyFont="1" applyBorder="1" applyAlignment="1">
      <alignment horizontal="left"/>
    </xf>
    <xf numFmtId="0" fontId="39" fillId="0" borderId="0" xfId="7" applyFont="1"/>
    <xf numFmtId="0" fontId="38" fillId="0" borderId="1" xfId="7" applyFont="1" applyBorder="1"/>
    <xf numFmtId="49" fontId="39" fillId="0" borderId="1" xfId="7" applyNumberFormat="1" applyFont="1" applyBorder="1" applyAlignment="1">
      <alignment horizontal="left"/>
    </xf>
    <xf numFmtId="0" fontId="38" fillId="0" borderId="1" xfId="7" applyFont="1" applyBorder="1" applyAlignment="1">
      <alignment horizontal="center"/>
    </xf>
    <xf numFmtId="0" fontId="21" fillId="0" borderId="1" xfId="7" applyFont="1" applyBorder="1" applyAlignment="1">
      <alignment horizontal="center"/>
    </xf>
    <xf numFmtId="0" fontId="21" fillId="0" borderId="1" xfId="7" applyFont="1" applyBorder="1" applyAlignment="1">
      <alignment horizontal="center" wrapText="1"/>
    </xf>
    <xf numFmtId="0" fontId="39" fillId="0" borderId="1" xfId="7" applyFont="1" applyBorder="1"/>
    <xf numFmtId="0" fontId="40" fillId="9" borderId="1" xfId="7" applyFont="1" applyFill="1" applyBorder="1"/>
    <xf numFmtId="49" fontId="39" fillId="0" borderId="1" xfId="7" applyNumberFormat="1" applyFont="1" applyBorder="1"/>
    <xf numFmtId="169" fontId="39" fillId="0" borderId="1" xfId="7" applyNumberFormat="1" applyFont="1" applyBorder="1"/>
    <xf numFmtId="0" fontId="39" fillId="0" borderId="1" xfId="7" applyFont="1" applyBorder="1" applyAlignment="1">
      <alignment horizontal="right"/>
    </xf>
    <xf numFmtId="0" fontId="39" fillId="0" borderId="1" xfId="7" applyFont="1" applyBorder="1" applyAlignment="1">
      <alignment wrapText="1"/>
    </xf>
    <xf numFmtId="0" fontId="16" fillId="0" borderId="1" xfId="7" applyFont="1" applyBorder="1"/>
    <xf numFmtId="0" fontId="39" fillId="9" borderId="1" xfId="7" applyFont="1" applyFill="1" applyBorder="1"/>
    <xf numFmtId="168" fontId="33" fillId="5" borderId="1" xfId="6" applyNumberFormat="1" applyFont="1" applyFill="1" applyBorder="1" applyAlignment="1" applyProtection="1">
      <alignment horizontal="center" vertical="top"/>
    </xf>
    <xf numFmtId="168" fontId="33" fillId="5" borderId="1" xfId="6" applyNumberFormat="1" applyFont="1" applyFill="1" applyBorder="1" applyAlignment="1" applyProtection="1">
      <alignment horizontal="center" vertical="top" wrapText="1"/>
    </xf>
    <xf numFmtId="165" fontId="33" fillId="5" borderId="1" xfId="6" applyNumberFormat="1" applyFont="1" applyFill="1" applyBorder="1" applyAlignment="1" applyProtection="1">
      <alignment horizontal="center" vertical="top"/>
    </xf>
    <xf numFmtId="165" fontId="33" fillId="0" borderId="1" xfId="6" applyNumberFormat="1" applyFont="1" applyFill="1" applyBorder="1" applyAlignment="1" applyProtection="1">
      <alignment horizontal="center" vertical="top"/>
    </xf>
    <xf numFmtId="168" fontId="22" fillId="0" borderId="8" xfId="6" applyNumberFormat="1" applyFont="1" applyBorder="1" applyAlignment="1" applyProtection="1">
      <alignment horizontal="justify" vertical="top" wrapText="1"/>
    </xf>
    <xf numFmtId="0" fontId="0" fillId="5" borderId="0" xfId="0" applyFill="1"/>
    <xf numFmtId="37" fontId="50" fillId="5" borderId="4" xfId="13" applyNumberFormat="1" applyFont="1" applyFill="1" applyBorder="1"/>
    <xf numFmtId="37" fontId="50" fillId="0" borderId="4" xfId="13" applyNumberFormat="1" applyFont="1" applyBorder="1" applyAlignment="1" applyProtection="1">
      <alignment horizontal="right"/>
      <protection locked="0"/>
    </xf>
    <xf numFmtId="37" fontId="50" fillId="0" borderId="9" xfId="13" applyNumberFormat="1" applyFont="1" applyBorder="1" applyAlignment="1" applyProtection="1">
      <alignment horizontal="right"/>
      <protection locked="0"/>
    </xf>
    <xf numFmtId="173" fontId="65" fillId="0" borderId="1" xfId="13" applyNumberFormat="1" applyBorder="1" applyProtection="1">
      <protection locked="0"/>
    </xf>
    <xf numFmtId="0" fontId="30" fillId="0" borderId="0" xfId="0" applyFont="1"/>
    <xf numFmtId="0" fontId="30" fillId="0" borderId="0" xfId="0" applyFont="1" applyAlignment="1">
      <alignment horizontal="right"/>
    </xf>
    <xf numFmtId="0" fontId="0" fillId="13" borderId="0" xfId="0" applyFill="1"/>
    <xf numFmtId="37" fontId="0" fillId="13" borderId="0" xfId="0" applyNumberFormat="1" applyFill="1"/>
    <xf numFmtId="0" fontId="0" fillId="13" borderId="0" xfId="0" applyFill="1" applyAlignment="1">
      <alignment horizontal="left"/>
    </xf>
    <xf numFmtId="0" fontId="0" fillId="2" borderId="0" xfId="0" applyFill="1"/>
    <xf numFmtId="37" fontId="30" fillId="2" borderId="0" xfId="0" applyNumberFormat="1" applyFont="1" applyFill="1"/>
    <xf numFmtId="37" fontId="0" fillId="2" borderId="0" xfId="0" applyNumberFormat="1" applyFill="1"/>
    <xf numFmtId="0" fontId="0" fillId="14" borderId="0" xfId="0" applyFill="1"/>
    <xf numFmtId="37" fontId="30" fillId="14" borderId="0" xfId="0" applyNumberFormat="1" applyFont="1" applyFill="1"/>
    <xf numFmtId="37" fontId="37" fillId="13" borderId="0" xfId="0" applyNumberFormat="1" applyFont="1" applyFill="1"/>
    <xf numFmtId="0" fontId="0" fillId="13" borderId="0" xfId="0" applyFill="1" applyAlignment="1">
      <alignment horizontal="right"/>
    </xf>
    <xf numFmtId="37" fontId="0" fillId="14" borderId="0" xfId="0" applyNumberFormat="1" applyFill="1"/>
    <xf numFmtId="0" fontId="0" fillId="15" borderId="0" xfId="0" applyFill="1"/>
    <xf numFmtId="37" fontId="0" fillId="15" borderId="0" xfId="0" applyNumberFormat="1" applyFill="1"/>
    <xf numFmtId="37" fontId="7" fillId="2" borderId="0" xfId="0" applyNumberFormat="1" applyFont="1" applyFill="1"/>
    <xf numFmtId="0" fontId="31" fillId="13" borderId="0" xfId="0" applyFont="1" applyFill="1"/>
    <xf numFmtId="37" fontId="31" fillId="13" borderId="0" xfId="0" applyNumberFormat="1" applyFont="1" applyFill="1"/>
    <xf numFmtId="0" fontId="31" fillId="13" borderId="0" xfId="0" applyFont="1" applyFill="1" applyAlignment="1">
      <alignment horizontal="left"/>
    </xf>
    <xf numFmtId="0" fontId="31" fillId="2" borderId="0" xfId="0" applyFont="1" applyFill="1"/>
    <xf numFmtId="37" fontId="52" fillId="0" borderId="18" xfId="0" applyNumberFormat="1" applyFont="1" applyBorder="1"/>
    <xf numFmtId="0" fontId="14" fillId="6" borderId="0" xfId="6" applyFont="1" applyFill="1" applyProtection="1"/>
    <xf numFmtId="37" fontId="50" fillId="0" borderId="9" xfId="13" applyNumberFormat="1" applyFont="1" applyBorder="1"/>
    <xf numFmtId="49" fontId="65" fillId="0" borderId="3" xfId="13" applyNumberFormat="1" applyBorder="1" applyAlignment="1">
      <alignment horizontal="center"/>
    </xf>
    <xf numFmtId="49" fontId="48" fillId="0" borderId="3" xfId="0" applyNumberFormat="1" applyFont="1" applyBorder="1" applyProtection="1">
      <protection locked="0"/>
    </xf>
    <xf numFmtId="37" fontId="52" fillId="0" borderId="10" xfId="0" applyNumberFormat="1" applyFont="1" applyBorder="1" applyProtection="1">
      <protection locked="0"/>
    </xf>
    <xf numFmtId="37" fontId="31" fillId="5" borderId="1" xfId="10" applyNumberFormat="1" applyFont="1" applyFill="1" applyBorder="1" applyProtection="1">
      <protection locked="0"/>
    </xf>
    <xf numFmtId="168" fontId="7" fillId="0" borderId="0" xfId="6" applyNumberFormat="1" applyFont="1" applyFill="1" applyAlignment="1" applyProtection="1">
      <alignment horizontal="left" vertical="top"/>
    </xf>
    <xf numFmtId="0" fontId="35" fillId="0" borderId="0" xfId="0" applyFont="1"/>
    <xf numFmtId="0" fontId="7" fillId="0" borderId="0" xfId="0" applyFont="1"/>
    <xf numFmtId="37" fontId="52" fillId="0" borderId="1" xfId="0" applyNumberFormat="1" applyFont="1" applyBorder="1"/>
    <xf numFmtId="37" fontId="0" fillId="0" borderId="1" xfId="0" applyNumberFormat="1" applyBorder="1"/>
    <xf numFmtId="37" fontId="52" fillId="4" borderId="1" xfId="0" applyNumberFormat="1" applyFont="1" applyFill="1" applyBorder="1"/>
    <xf numFmtId="10" fontId="52" fillId="4" borderId="1" xfId="0" applyNumberFormat="1" applyFont="1" applyFill="1" applyBorder="1"/>
    <xf numFmtId="37" fontId="52" fillId="0" borderId="15" xfId="0" applyNumberFormat="1" applyFont="1" applyBorder="1"/>
    <xf numFmtId="37" fontId="0" fillId="0" borderId="5" xfId="0" applyNumberFormat="1" applyBorder="1"/>
    <xf numFmtId="37" fontId="52" fillId="0" borderId="5" xfId="0" applyNumberFormat="1" applyFont="1" applyBorder="1"/>
    <xf numFmtId="37" fontId="52" fillId="4" borderId="5" xfId="0" applyNumberFormat="1" applyFont="1" applyFill="1" applyBorder="1"/>
    <xf numFmtId="37" fontId="0" fillId="4" borderId="21" xfId="0" applyNumberFormat="1" applyFill="1" applyBorder="1"/>
    <xf numFmtId="0" fontId="18" fillId="6" borderId="12" xfId="6" applyFont="1" applyFill="1" applyBorder="1" applyProtection="1"/>
    <xf numFmtId="0" fontId="18" fillId="6" borderId="7" xfId="6" applyFont="1" applyFill="1" applyBorder="1" applyProtection="1"/>
    <xf numFmtId="168" fontId="55" fillId="5" borderId="0" xfId="10" applyNumberFormat="1" applyFont="1" applyFill="1"/>
    <xf numFmtId="16" fontId="31" fillId="0" borderId="0" xfId="0" quotePrefix="1" applyNumberFormat="1" applyFont="1" applyAlignment="1">
      <alignment horizontal="right" vertical="top" wrapText="1"/>
    </xf>
    <xf numFmtId="0" fontId="0" fillId="0" borderId="0" xfId="0" quotePrefix="1" applyAlignment="1">
      <alignment horizontal="right" vertical="top"/>
    </xf>
    <xf numFmtId="168" fontId="7" fillId="0" borderId="0" xfId="6" applyNumberFormat="1" applyFont="1" applyFill="1" applyAlignment="1" applyProtection="1">
      <alignment vertical="top"/>
    </xf>
    <xf numFmtId="0" fontId="7" fillId="0" borderId="1" xfId="0" applyFont="1" applyBorder="1" applyAlignment="1">
      <alignment horizontal="left" wrapText="1"/>
    </xf>
    <xf numFmtId="0" fontId="7" fillId="0" borderId="1" xfId="0" applyFont="1" applyBorder="1"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wrapText="1"/>
    </xf>
    <xf numFmtId="0" fontId="0" fillId="0" borderId="10" xfId="0"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7" fillId="0" borderId="0" xfId="0" applyFont="1" applyAlignment="1">
      <alignment horizontal="center"/>
    </xf>
    <xf numFmtId="37" fontId="0" fillId="0" borderId="4" xfId="0" applyNumberFormat="1" applyBorder="1" applyAlignment="1" applyProtection="1">
      <alignment horizontal="right"/>
      <protection locked="0"/>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0" fontId="0" fillId="0" borderId="0" xfId="0" quotePrefix="1" applyAlignment="1">
      <alignment horizontal="left"/>
    </xf>
    <xf numFmtId="168" fontId="7" fillId="5" borderId="0" xfId="0" applyNumberFormat="1" applyFont="1" applyFill="1" applyAlignment="1">
      <alignment horizontal="center"/>
    </xf>
    <xf numFmtId="0" fontId="0" fillId="0" borderId="1" xfId="0" applyBorder="1" applyAlignment="1">
      <alignment horizontal="center"/>
    </xf>
    <xf numFmtId="0" fontId="31" fillId="0" borderId="9" xfId="10" applyFont="1" applyBorder="1" applyAlignment="1">
      <alignment horizontal="left"/>
    </xf>
    <xf numFmtId="0" fontId="31" fillId="0" borderId="4" xfId="10" applyFont="1" applyBorder="1" applyAlignment="1">
      <alignment horizontal="left"/>
    </xf>
    <xf numFmtId="168" fontId="31" fillId="5" borderId="0" xfId="10" applyNumberFormat="1" applyFont="1" applyFill="1" applyAlignment="1">
      <alignment horizontal="left"/>
    </xf>
    <xf numFmtId="0" fontId="31" fillId="0" borderId="3" xfId="10" applyFont="1" applyBorder="1" applyAlignment="1">
      <alignment horizontal="center"/>
    </xf>
    <xf numFmtId="0" fontId="65" fillId="0" borderId="3" xfId="13" applyBorder="1" applyAlignment="1">
      <alignment horizontal="center"/>
    </xf>
    <xf numFmtId="0" fontId="0" fillId="0" borderId="0" xfId="0" applyAlignment="1">
      <alignment horizontal="left" vertical="top" wrapText="1"/>
    </xf>
    <xf numFmtId="168" fontId="7" fillId="0" borderId="0" xfId="6" quotePrefix="1" applyNumberFormat="1" applyFont="1" applyFill="1" applyAlignment="1" applyProtection="1">
      <alignment horizontal="left" vertical="top"/>
    </xf>
    <xf numFmtId="0" fontId="14" fillId="0" borderId="13" xfId="6" applyFont="1" applyFill="1" applyBorder="1" applyAlignment="1" applyProtection="1">
      <alignment horizontal="center" vertical="top"/>
    </xf>
    <xf numFmtId="0" fontId="14" fillId="0" borderId="8" xfId="6" applyFont="1" applyFill="1" applyBorder="1" applyAlignment="1" applyProtection="1">
      <alignment horizontal="center" vertical="top"/>
    </xf>
    <xf numFmtId="0" fontId="14" fillId="0" borderId="0" xfId="6" applyFont="1" applyFill="1" applyAlignment="1" applyProtection="1">
      <alignment horizontal="center" vertical="top"/>
    </xf>
    <xf numFmtId="0" fontId="14" fillId="0" borderId="14" xfId="6" applyFont="1" applyFill="1" applyBorder="1" applyAlignment="1" applyProtection="1">
      <alignment horizontal="center" vertical="top"/>
    </xf>
    <xf numFmtId="0" fontId="14" fillId="0" borderId="15" xfId="6" applyFont="1" applyFill="1" applyBorder="1" applyAlignment="1" applyProtection="1">
      <alignment horizontal="center" vertical="top"/>
    </xf>
    <xf numFmtId="0" fontId="14" fillId="0" borderId="17" xfId="6" applyFont="1" applyFill="1" applyBorder="1" applyAlignment="1" applyProtection="1">
      <alignment horizontal="center" vertical="top"/>
    </xf>
    <xf numFmtId="37" fontId="52" fillId="4" borderId="15" xfId="0" applyNumberFormat="1" applyFont="1" applyFill="1" applyBorder="1"/>
    <xf numFmtId="0" fontId="55" fillId="0" borderId="0" xfId="0" applyFont="1" applyAlignment="1">
      <alignment vertical="center" wrapText="1"/>
    </xf>
    <xf numFmtId="0" fontId="55" fillId="0" borderId="0" xfId="0" applyFont="1" applyAlignment="1">
      <alignment horizontal="center" vertical="center" wrapText="1"/>
    </xf>
    <xf numFmtId="0" fontId="31" fillId="0" borderId="0" xfId="0" applyFont="1" applyAlignment="1">
      <alignment vertical="top" wrapText="1"/>
    </xf>
    <xf numFmtId="37" fontId="0" fillId="0" borderId="9" xfId="0" applyNumberFormat="1" applyBorder="1"/>
    <xf numFmtId="37" fontId="52" fillId="4" borderId="8" xfId="0" applyNumberFormat="1" applyFont="1" applyFill="1" applyBorder="1"/>
    <xf numFmtId="37" fontId="65" fillId="5" borderId="12" xfId="13" applyNumberFormat="1" applyFill="1" applyBorder="1"/>
    <xf numFmtId="49"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37" fontId="65" fillId="0" borderId="1" xfId="13" applyNumberFormat="1" applyBorder="1"/>
    <xf numFmtId="37" fontId="0" fillId="4" borderId="1" xfId="0" applyNumberFormat="1" applyFill="1" applyBorder="1"/>
    <xf numFmtId="49" fontId="0" fillId="0" borderId="0" xfId="0" applyNumberFormat="1" applyAlignment="1">
      <alignment horizontal="center"/>
    </xf>
    <xf numFmtId="0" fontId="33" fillId="6" borderId="10" xfId="6" applyFont="1" applyFill="1" applyBorder="1" applyAlignment="1" applyProtection="1">
      <alignment horizontal="center"/>
    </xf>
    <xf numFmtId="0" fontId="33" fillId="6" borderId="15" xfId="6" applyFont="1" applyFill="1" applyBorder="1" applyAlignment="1" applyProtection="1">
      <alignment horizontal="center"/>
    </xf>
    <xf numFmtId="0" fontId="33" fillId="6" borderId="5" xfId="6" applyFont="1" applyFill="1" applyBorder="1" applyAlignment="1" applyProtection="1">
      <alignment horizontal="center"/>
    </xf>
    <xf numFmtId="0" fontId="7" fillId="0" borderId="8" xfId="12" applyNumberFormat="1" applyFont="1" applyFill="1" applyBorder="1" applyAlignment="1" applyProtection="1">
      <alignment horizontal="center" vertical="center" wrapText="1"/>
    </xf>
    <xf numFmtId="0" fontId="64" fillId="0" borderId="9" xfId="6" applyFont="1" applyFill="1" applyBorder="1" applyAlignment="1" applyProtection="1">
      <alignment horizontal="left"/>
    </xf>
    <xf numFmtId="37" fontId="0" fillId="0" borderId="3" xfId="0" applyNumberFormat="1" applyBorder="1" applyAlignment="1" applyProtection="1">
      <alignment horizontal="right"/>
      <protection locked="0"/>
    </xf>
    <xf numFmtId="3" fontId="0" fillId="0" borderId="3" xfId="0" applyNumberFormat="1" applyBorder="1" applyProtection="1">
      <protection locked="0"/>
    </xf>
    <xf numFmtId="0" fontId="66" fillId="6" borderId="0" xfId="6" applyFont="1" applyFill="1" applyProtection="1"/>
    <xf numFmtId="37" fontId="0" fillId="5" borderId="19" xfId="0" applyNumberFormat="1" applyFill="1" applyBorder="1"/>
    <xf numFmtId="49" fontId="0" fillId="5" borderId="0" xfId="0" applyNumberFormat="1" applyFill="1" applyAlignment="1">
      <alignment wrapText="1"/>
    </xf>
    <xf numFmtId="4" fontId="0" fillId="0" borderId="0" xfId="0" applyNumberFormat="1" applyAlignment="1">
      <alignment horizontal="center"/>
    </xf>
    <xf numFmtId="4" fontId="0" fillId="0" borderId="1" xfId="0" applyNumberFormat="1" applyBorder="1" applyAlignment="1" applyProtection="1">
      <alignment horizontal="center"/>
      <protection locked="0"/>
    </xf>
    <xf numFmtId="37" fontId="0" fillId="5" borderId="7" xfId="0" applyNumberFormat="1" applyFill="1" applyBorder="1" applyProtection="1">
      <protection locked="0"/>
    </xf>
    <xf numFmtId="37" fontId="0" fillId="5" borderId="4" xfId="0" applyNumberFormat="1" applyFill="1" applyBorder="1" applyProtection="1">
      <protection locked="0"/>
    </xf>
    <xf numFmtId="2" fontId="0" fillId="0" borderId="0" xfId="0" applyNumberFormat="1" applyAlignment="1">
      <alignment horizontal="center"/>
    </xf>
    <xf numFmtId="0" fontId="0" fillId="7" borderId="1" xfId="0" applyFill="1" applyBorder="1"/>
    <xf numFmtId="168" fontId="0" fillId="5" borderId="12" xfId="0" applyNumberFormat="1" applyFill="1" applyBorder="1"/>
    <xf numFmtId="49" fontId="0" fillId="0" borderId="1" xfId="0" applyNumberFormat="1" applyBorder="1" applyAlignment="1">
      <alignment horizontal="center"/>
    </xf>
    <xf numFmtId="49" fontId="0" fillId="0" borderId="8" xfId="0" applyNumberFormat="1" applyBorder="1" applyAlignment="1">
      <alignment horizontal="center"/>
    </xf>
    <xf numFmtId="5" fontId="66" fillId="6" borderId="0" xfId="6" applyNumberFormat="1" applyFont="1" applyFill="1" applyBorder="1" applyProtection="1"/>
    <xf numFmtId="39" fontId="0" fillId="0" borderId="0" xfId="0" applyNumberFormat="1"/>
    <xf numFmtId="168" fontId="19" fillId="5" borderId="0" xfId="0" applyNumberFormat="1" applyFont="1" applyFill="1"/>
    <xf numFmtId="3" fontId="0" fillId="0" borderId="1" xfId="0" applyNumberFormat="1" applyBorder="1" applyProtection="1">
      <protection locked="0"/>
    </xf>
    <xf numFmtId="3" fontId="0" fillId="0" borderId="5" xfId="0" applyNumberFormat="1" applyBorder="1" applyProtection="1">
      <protection locked="0"/>
    </xf>
    <xf numFmtId="37" fontId="0" fillId="5" borderId="0" xfId="0" applyNumberFormat="1" applyFill="1"/>
    <xf numFmtId="3" fontId="0" fillId="0" borderId="10" xfId="0" applyNumberFormat="1" applyBorder="1" applyProtection="1">
      <protection locked="0"/>
    </xf>
    <xf numFmtId="37" fontId="0" fillId="0" borderId="21" xfId="0" applyNumberFormat="1" applyBorder="1"/>
    <xf numFmtId="165" fontId="0" fillId="0" borderId="0" xfId="0" applyNumberFormat="1"/>
    <xf numFmtId="165" fontId="0" fillId="0" borderId="3" xfId="0" applyNumberFormat="1" applyBorder="1" applyProtection="1">
      <protection locked="0"/>
    </xf>
    <xf numFmtId="37" fontId="0" fillId="0" borderId="5" xfId="0" applyNumberFormat="1" applyBorder="1" applyProtection="1">
      <protection locked="0"/>
    </xf>
    <xf numFmtId="0" fontId="0" fillId="0" borderId="1" xfId="0" applyBorder="1" applyAlignment="1" applyProtection="1">
      <alignment vertical="top" wrapText="1"/>
      <protection locked="0"/>
    </xf>
    <xf numFmtId="0" fontId="14" fillId="0" borderId="1" xfId="6" applyFont="1" applyFill="1" applyBorder="1" applyAlignment="1" applyProtection="1">
      <alignment horizontal="center" vertical="top"/>
    </xf>
    <xf numFmtId="0" fontId="34" fillId="6" borderId="0" xfId="6" applyFont="1" applyFill="1" applyBorder="1" applyAlignment="1" applyProtection="1">
      <alignment horizontal="center"/>
    </xf>
    <xf numFmtId="0" fontId="18" fillId="0" borderId="13" xfId="6" applyFont="1" applyFill="1" applyBorder="1" applyProtection="1"/>
    <xf numFmtId="0" fontId="18" fillId="0" borderId="10" xfId="6" applyFont="1" applyFill="1" applyBorder="1" applyProtection="1"/>
    <xf numFmtId="0" fontId="39" fillId="0" borderId="0" xfId="7" applyFont="1" applyAlignment="1">
      <alignment horizontal="center"/>
    </xf>
    <xf numFmtId="37" fontId="0" fillId="9" borderId="10" xfId="0" applyNumberFormat="1" applyFill="1" applyBorder="1" applyAlignment="1">
      <alignment horizontal="center"/>
    </xf>
    <xf numFmtId="37" fontId="0" fillId="9" borderId="15" xfId="0" applyNumberFormat="1" applyFill="1" applyBorder="1" applyAlignment="1">
      <alignment horizontal="center"/>
    </xf>
    <xf numFmtId="0" fontId="14" fillId="0" borderId="8" xfId="6" applyFont="1" applyBorder="1" applyAlignment="1" applyProtection="1">
      <alignment horizontal="center" vertical="top"/>
    </xf>
    <xf numFmtId="37" fontId="0" fillId="10" borderId="35" xfId="0" applyNumberFormat="1" applyFill="1" applyBorder="1" applyAlignment="1">
      <alignment horizontal="center"/>
    </xf>
    <xf numFmtId="37" fontId="0" fillId="10" borderId="12" xfId="0" applyNumberFormat="1" applyFill="1" applyBorder="1"/>
    <xf numFmtId="37" fontId="0" fillId="10" borderId="2" xfId="0" applyNumberFormat="1" applyFill="1" applyBorder="1"/>
    <xf numFmtId="37" fontId="0" fillId="10" borderId="36" xfId="0" applyNumberFormat="1" applyFill="1" applyBorder="1"/>
    <xf numFmtId="37" fontId="0" fillId="10" borderId="9" xfId="0" applyNumberFormat="1" applyFill="1" applyBorder="1"/>
    <xf numFmtId="37" fontId="0" fillId="10" borderId="3" xfId="0" applyNumberFormat="1" applyFill="1" applyBorder="1"/>
    <xf numFmtId="0" fontId="33" fillId="6" borderId="3" xfId="6" applyFont="1" applyFill="1" applyBorder="1" applyProtection="1"/>
    <xf numFmtId="0" fontId="36" fillId="6" borderId="0" xfId="6" applyFont="1" applyFill="1" applyProtection="1"/>
    <xf numFmtId="49" fontId="36" fillId="6" borderId="0" xfId="6" applyNumberFormat="1" applyFont="1" applyFill="1" applyProtection="1"/>
    <xf numFmtId="0" fontId="69" fillId="0" borderId="0" xfId="0" applyFont="1" applyAlignment="1">
      <alignment vertical="top" wrapText="1"/>
    </xf>
    <xf numFmtId="168" fontId="34" fillId="6" borderId="0" xfId="0" applyNumberFormat="1" applyFont="1" applyFill="1" applyAlignment="1">
      <alignment horizontal="center"/>
    </xf>
    <xf numFmtId="0" fontId="34" fillId="6" borderId="0" xfId="6" applyFont="1" applyFill="1" applyAlignment="1" applyProtection="1">
      <alignment horizontal="center"/>
    </xf>
    <xf numFmtId="37" fontId="57" fillId="6" borderId="0" xfId="6" applyNumberFormat="1" applyFont="1" applyFill="1" applyBorder="1" applyAlignment="1" applyProtection="1">
      <alignment horizontal="center" vertical="center"/>
    </xf>
    <xf numFmtId="0" fontId="4" fillId="3" borderId="0" xfId="7" applyFont="1" applyFill="1" applyAlignment="1" applyProtection="1">
      <alignment horizontal="left"/>
      <protection locked="0"/>
    </xf>
    <xf numFmtId="167" fontId="0" fillId="0" borderId="0" xfId="0" quotePrefix="1" applyNumberFormat="1" applyAlignment="1">
      <alignment horizontal="right"/>
    </xf>
    <xf numFmtId="0" fontId="18" fillId="6" borderId="0" xfId="6" applyFont="1" applyFill="1" applyBorder="1" applyAlignment="1" applyProtection="1">
      <alignment horizontal="center"/>
    </xf>
    <xf numFmtId="37" fontId="0" fillId="0" borderId="15" xfId="0" applyNumberFormat="1" applyBorder="1" applyProtection="1">
      <protection locked="0"/>
    </xf>
    <xf numFmtId="37" fontId="68" fillId="0" borderId="1" xfId="0" applyNumberFormat="1" applyFont="1" applyBorder="1" applyProtection="1">
      <protection locked="0"/>
    </xf>
    <xf numFmtId="38" fontId="68" fillId="0" borderId="1" xfId="0" applyNumberFormat="1" applyFont="1" applyBorder="1" applyProtection="1">
      <protection locked="0"/>
    </xf>
    <xf numFmtId="0" fontId="18" fillId="6" borderId="0" xfId="6" applyFont="1" applyFill="1" applyBorder="1" applyProtection="1"/>
    <xf numFmtId="0" fontId="14" fillId="6" borderId="0" xfId="6" applyFont="1" applyFill="1" applyBorder="1" applyProtection="1"/>
    <xf numFmtId="0" fontId="70" fillId="6" borderId="0" xfId="6" applyFont="1" applyFill="1" applyAlignment="1" applyProtection="1">
      <alignment horizontal="right"/>
    </xf>
    <xf numFmtId="0" fontId="70" fillId="6" borderId="0" xfId="6" quotePrefix="1" applyFont="1" applyFill="1" applyAlignment="1" applyProtection="1">
      <alignment horizontal="right"/>
    </xf>
    <xf numFmtId="0" fontId="3" fillId="3" borderId="0" xfId="7" applyFont="1" applyFill="1" applyAlignment="1" applyProtection="1">
      <alignment horizontal="left"/>
      <protection locked="0"/>
    </xf>
    <xf numFmtId="0" fontId="68" fillId="0" borderId="0" xfId="0" applyFont="1"/>
    <xf numFmtId="49" fontId="68" fillId="0" borderId="0" xfId="0" applyNumberFormat="1" applyFont="1" applyAlignment="1">
      <alignment horizontal="right"/>
    </xf>
    <xf numFmtId="37" fontId="68" fillId="4" borderId="1" xfId="0" applyNumberFormat="1" applyFont="1" applyFill="1" applyBorder="1"/>
    <xf numFmtId="167" fontId="0" fillId="0" borderId="34" xfId="0" quotePrefix="1" applyNumberFormat="1" applyBorder="1" applyAlignment="1">
      <alignment horizontal="right"/>
    </xf>
    <xf numFmtId="168" fontId="68" fillId="5" borderId="2" xfId="0" applyNumberFormat="1" applyFont="1" applyFill="1" applyBorder="1"/>
    <xf numFmtId="168" fontId="68" fillId="5" borderId="16" xfId="0" applyNumberFormat="1" applyFont="1" applyFill="1" applyBorder="1"/>
    <xf numFmtId="167" fontId="65" fillId="0" borderId="0" xfId="9" applyNumberFormat="1" applyFont="1" applyAlignment="1">
      <alignment horizontal="right"/>
    </xf>
    <xf numFmtId="167" fontId="65" fillId="0" borderId="34" xfId="9" applyNumberFormat="1" applyFont="1" applyBorder="1" applyAlignment="1">
      <alignment horizontal="right"/>
    </xf>
    <xf numFmtId="167" fontId="65" fillId="0" borderId="0" xfId="9" applyNumberFormat="1" applyFont="1" applyAlignment="1">
      <alignment horizontal="left"/>
    </xf>
    <xf numFmtId="49" fontId="68" fillId="0" borderId="0" xfId="0" applyNumberFormat="1" applyFont="1" applyAlignment="1">
      <alignment horizontal="center"/>
    </xf>
    <xf numFmtId="168" fontId="68" fillId="5" borderId="0" xfId="0" quotePrefix="1" applyNumberFormat="1" applyFont="1" applyFill="1" applyAlignment="1">
      <alignment horizontal="left"/>
    </xf>
    <xf numFmtId="49" fontId="68" fillId="0" borderId="0" xfId="0" applyNumberFormat="1" applyFont="1"/>
    <xf numFmtId="0" fontId="68" fillId="0" borderId="0" xfId="13" applyFont="1"/>
    <xf numFmtId="0" fontId="68" fillId="0" borderId="0" xfId="0" applyFont="1" applyAlignment="1">
      <alignment horizontal="left" vertical="top"/>
    </xf>
    <xf numFmtId="0" fontId="68" fillId="0" borderId="0" xfId="0" quotePrefix="1" applyFont="1" applyAlignment="1">
      <alignment horizontal="left" vertical="top"/>
    </xf>
    <xf numFmtId="168" fontId="7" fillId="0" borderId="0" xfId="6" quotePrefix="1" applyNumberFormat="1" applyFont="1" applyFill="1" applyAlignment="1" applyProtection="1">
      <alignment vertical="top"/>
    </xf>
    <xf numFmtId="0" fontId="68" fillId="0" borderId="0" xfId="0" applyFont="1" applyAlignment="1">
      <alignment vertical="top"/>
    </xf>
    <xf numFmtId="0" fontId="0" fillId="17" borderId="1" xfId="6" applyFont="1" applyFill="1" applyBorder="1" applyAlignment="1" applyProtection="1">
      <alignment vertical="top" wrapText="1"/>
    </xf>
    <xf numFmtId="0" fontId="68" fillId="17" borderId="1" xfId="6" applyFont="1" applyFill="1" applyBorder="1" applyAlignment="1" applyProtection="1">
      <alignment vertical="top" wrapText="1"/>
    </xf>
    <xf numFmtId="168" fontId="68" fillId="5" borderId="0" xfId="10" applyNumberFormat="1" applyFont="1" applyFill="1" applyAlignment="1">
      <alignment horizontal="right"/>
    </xf>
    <xf numFmtId="0" fontId="18" fillId="6" borderId="0" xfId="6" applyFont="1" applyFill="1" applyAlignment="1" applyProtection="1">
      <alignment horizontal="center"/>
    </xf>
    <xf numFmtId="0" fontId="68" fillId="0" borderId="0" xfId="0" applyFont="1" applyAlignment="1">
      <alignment vertical="top" wrapText="1"/>
    </xf>
    <xf numFmtId="0" fontId="0" fillId="0" borderId="1" xfId="0" applyBorder="1" applyProtection="1">
      <protection locked="0"/>
    </xf>
    <xf numFmtId="0" fontId="18" fillId="6" borderId="7" xfId="6" applyFont="1" applyFill="1" applyBorder="1" applyAlignment="1" applyProtection="1">
      <alignment horizontal="center" vertical="center"/>
    </xf>
    <xf numFmtId="37" fontId="68" fillId="0" borderId="1" xfId="0" applyNumberFormat="1" applyFont="1" applyBorder="1"/>
    <xf numFmtId="168" fontId="68" fillId="0" borderId="0" xfId="0" applyNumberFormat="1" applyFont="1"/>
    <xf numFmtId="174" fontId="39" fillId="0" borderId="1" xfId="7" applyNumberFormat="1" applyFont="1" applyBorder="1" applyProtection="1">
      <protection locked="0"/>
    </xf>
    <xf numFmtId="37" fontId="19" fillId="17" borderId="0" xfId="0" applyNumberFormat="1" applyFont="1" applyFill="1" applyAlignment="1">
      <alignment horizontal="left" indent="1"/>
    </xf>
    <xf numFmtId="37" fontId="19" fillId="17" borderId="0" xfId="0" applyNumberFormat="1" applyFont="1" applyFill="1"/>
    <xf numFmtId="37" fontId="68" fillId="17" borderId="0" xfId="0" applyNumberFormat="1" applyFont="1" applyFill="1"/>
    <xf numFmtId="14" fontId="0" fillId="0" borderId="0" xfId="0" applyNumberFormat="1"/>
    <xf numFmtId="0" fontId="7" fillId="0" borderId="1" xfId="0" applyFont="1" applyBorder="1" applyAlignment="1">
      <alignment horizontal="center" vertical="center" wrapText="1"/>
    </xf>
    <xf numFmtId="168" fontId="0" fillId="5" borderId="1" xfId="0" applyNumberFormat="1" applyFill="1" applyBorder="1" applyAlignment="1">
      <alignment horizontal="justify" vertical="top" wrapText="1"/>
    </xf>
    <xf numFmtId="0" fontId="0" fillId="5" borderId="1" xfId="0" applyFill="1" applyBorder="1"/>
    <xf numFmtId="168" fontId="0" fillId="5" borderId="10" xfId="0" applyNumberFormat="1" applyFill="1" applyBorder="1" applyAlignment="1">
      <alignment horizontal="justify" vertical="top" wrapText="1"/>
    </xf>
    <xf numFmtId="168" fontId="0" fillId="5" borderId="1" xfId="0" applyNumberFormat="1" applyFill="1" applyBorder="1" applyAlignment="1">
      <alignment horizontal="justify" vertical="top"/>
    </xf>
    <xf numFmtId="168" fontId="68" fillId="5" borderId="1" xfId="0" applyNumberFormat="1" applyFont="1" applyFill="1" applyBorder="1" applyAlignment="1">
      <alignment horizontal="justify" vertical="top" wrapText="1"/>
    </xf>
    <xf numFmtId="168" fontId="0" fillId="5" borderId="1" xfId="0" applyNumberFormat="1" applyFill="1" applyBorder="1" applyAlignment="1">
      <alignment horizontal="center" vertical="top" wrapText="1"/>
    </xf>
    <xf numFmtId="0" fontId="0" fillId="17" borderId="1" xfId="0" applyFill="1" applyBorder="1" applyAlignment="1">
      <alignment horizontal="center" vertical="top" wrapText="1"/>
    </xf>
    <xf numFmtId="0" fontId="0" fillId="17" borderId="1" xfId="0" applyFill="1" applyBorder="1" applyAlignment="1">
      <alignment vertical="top" wrapText="1"/>
    </xf>
    <xf numFmtId="168" fontId="0" fillId="5" borderId="5" xfId="0" applyNumberFormat="1" applyFill="1" applyBorder="1" applyAlignment="1">
      <alignment horizontal="justify" vertical="top" wrapText="1"/>
    </xf>
    <xf numFmtId="168" fontId="0" fillId="0" borderId="1" xfId="0" applyNumberFormat="1" applyBorder="1" applyAlignment="1">
      <alignment horizontal="center" vertical="top"/>
    </xf>
    <xf numFmtId="168" fontId="68" fillId="0" borderId="1" xfId="0" applyNumberFormat="1" applyFont="1" applyBorder="1" applyAlignment="1">
      <alignment horizontal="justify" vertical="top"/>
    </xf>
    <xf numFmtId="168" fontId="68" fillId="0" borderId="1" xfId="0" applyNumberFormat="1" applyFont="1" applyBorder="1" applyAlignment="1">
      <alignment horizontal="center" vertical="top" wrapText="1"/>
    </xf>
    <xf numFmtId="168" fontId="0" fillId="0" borderId="1" xfId="0" applyNumberFormat="1" applyBorder="1" applyAlignment="1">
      <alignment horizontal="justify" vertical="top" wrapText="1"/>
    </xf>
    <xf numFmtId="168" fontId="68" fillId="0" borderId="1" xfId="0" applyNumberFormat="1" applyFont="1" applyBorder="1" applyAlignment="1">
      <alignment horizontal="justify" vertical="top" wrapText="1"/>
    </xf>
    <xf numFmtId="168" fontId="0" fillId="0" borderId="1" xfId="0" applyNumberFormat="1" applyBorder="1" applyAlignment="1">
      <alignment horizontal="center" vertical="top" wrapText="1"/>
    </xf>
    <xf numFmtId="168" fontId="68" fillId="5" borderId="1" xfId="0" applyNumberFormat="1" applyFont="1" applyFill="1" applyBorder="1" applyAlignment="1">
      <alignment horizontal="justify" vertical="top"/>
    </xf>
    <xf numFmtId="168" fontId="0" fillId="0" borderId="1" xfId="0" applyNumberFormat="1" applyBorder="1" applyAlignment="1">
      <alignment horizontal="justify" vertical="top"/>
    </xf>
    <xf numFmtId="0" fontId="36" fillId="0" borderId="1" xfId="0" applyFont="1" applyBorder="1" applyAlignment="1">
      <alignment vertical="top" wrapText="1"/>
    </xf>
    <xf numFmtId="0" fontId="0" fillId="0" borderId="1" xfId="0" applyBorder="1"/>
    <xf numFmtId="0" fontId="68" fillId="17" borderId="1" xfId="0" applyFont="1" applyFill="1" applyBorder="1" applyAlignment="1">
      <alignment vertical="top" wrapText="1"/>
    </xf>
    <xf numFmtId="0" fontId="0" fillId="5" borderId="1" xfId="0" applyFill="1" applyBorder="1" applyAlignment="1">
      <alignment horizontal="left" vertical="top" wrapText="1"/>
    </xf>
    <xf numFmtId="168" fontId="0" fillId="0" borderId="1" xfId="0" applyNumberFormat="1" applyBorder="1" applyAlignment="1">
      <alignment vertical="top" wrapText="1"/>
    </xf>
    <xf numFmtId="168" fontId="0" fillId="0" borderId="10" xfId="0" applyNumberFormat="1" applyBorder="1" applyAlignment="1">
      <alignment horizontal="center" vertical="top" wrapText="1"/>
    </xf>
    <xf numFmtId="168" fontId="28" fillId="0" borderId="10" xfId="0" applyNumberFormat="1" applyFont="1" applyBorder="1" applyAlignment="1">
      <alignment horizontal="center" vertical="top" wrapText="1"/>
    </xf>
    <xf numFmtId="168" fontId="28" fillId="0" borderId="1" xfId="0" applyNumberFormat="1" applyFont="1" applyBorder="1" applyAlignment="1">
      <alignment horizontal="justify" vertical="top" wrapText="1"/>
    </xf>
    <xf numFmtId="0" fontId="65" fillId="5" borderId="1" xfId="0" applyFont="1" applyFill="1" applyBorder="1"/>
    <xf numFmtId="0" fontId="35" fillId="0" borderId="1" xfId="0" applyFont="1" applyBorder="1"/>
    <xf numFmtId="0" fontId="0" fillId="0" borderId="1" xfId="0" applyBorder="1" applyAlignment="1">
      <alignment vertical="top" wrapText="1"/>
    </xf>
    <xf numFmtId="0" fontId="0" fillId="5" borderId="1" xfId="0" applyFill="1" applyBorder="1" applyAlignment="1">
      <alignment vertical="top" wrapText="1"/>
    </xf>
    <xf numFmtId="168" fontId="0" fillId="5" borderId="8" xfId="0" applyNumberFormat="1" applyFill="1" applyBorder="1" applyAlignment="1">
      <alignment horizontal="justify" vertical="top"/>
    </xf>
    <xf numFmtId="0" fontId="0" fillId="0" borderId="8" xfId="0" applyBorder="1" applyAlignment="1">
      <alignment vertical="top" wrapText="1"/>
    </xf>
    <xf numFmtId="168" fontId="0" fillId="0" borderId="15" xfId="0" applyNumberFormat="1" applyBorder="1" applyAlignment="1">
      <alignment horizontal="center" vertical="top" wrapText="1"/>
    </xf>
    <xf numFmtId="0" fontId="36" fillId="4" borderId="1" xfId="0" applyFont="1" applyFill="1" applyBorder="1" applyAlignment="1">
      <alignment horizontal="left" vertical="top" wrapText="1"/>
    </xf>
    <xf numFmtId="168" fontId="0" fillId="0" borderId="1" xfId="0" applyNumberFormat="1" applyBorder="1" applyAlignment="1">
      <alignment horizontal="left" vertical="top" wrapText="1"/>
    </xf>
    <xf numFmtId="0" fontId="20" fillId="0" borderId="1" xfId="0" applyFont="1" applyBorder="1" applyAlignment="1">
      <alignment vertical="top" wrapText="1"/>
    </xf>
    <xf numFmtId="168" fontId="31" fillId="0" borderId="1" xfId="0" applyNumberFormat="1" applyFont="1" applyBorder="1" applyAlignment="1">
      <alignment horizontal="left" vertical="top" wrapText="1"/>
    </xf>
    <xf numFmtId="168" fontId="0" fillId="0" borderId="10" xfId="0" applyNumberFormat="1" applyBorder="1" applyAlignment="1">
      <alignment horizontal="justify" vertical="top"/>
    </xf>
    <xf numFmtId="0" fontId="20" fillId="0" borderId="10" xfId="0" applyFont="1" applyBorder="1" applyAlignment="1">
      <alignment vertical="top" wrapText="1"/>
    </xf>
    <xf numFmtId="168" fontId="0" fillId="0" borderId="5" xfId="0" applyNumberFormat="1" applyBorder="1" applyAlignment="1">
      <alignment horizontal="justify" vertical="top"/>
    </xf>
    <xf numFmtId="0" fontId="20" fillId="0" borderId="5" xfId="0" applyFont="1" applyBorder="1" applyAlignment="1">
      <alignment vertical="top" wrapText="1"/>
    </xf>
    <xf numFmtId="0" fontId="14" fillId="17" borderId="1" xfId="6" quotePrefix="1" applyFont="1" applyFill="1" applyBorder="1" applyAlignment="1" applyProtection="1">
      <alignment horizontal="center" vertical="top" wrapText="1"/>
    </xf>
    <xf numFmtId="0" fontId="68" fillId="17" borderId="1" xfId="0" applyFont="1" applyFill="1" applyBorder="1" applyAlignment="1">
      <alignment horizontal="center" vertical="top" wrapText="1"/>
    </xf>
    <xf numFmtId="0" fontId="68" fillId="17" borderId="1" xfId="0" quotePrefix="1" applyFont="1" applyFill="1" applyBorder="1" applyAlignment="1">
      <alignment horizontal="left" vertical="top" wrapText="1"/>
    </xf>
    <xf numFmtId="0" fontId="68" fillId="17" borderId="1" xfId="0" applyFont="1" applyFill="1" applyBorder="1" applyAlignment="1">
      <alignment horizontal="left" vertical="top" wrapText="1"/>
    </xf>
    <xf numFmtId="0" fontId="68" fillId="17" borderId="1" xfId="0" applyFont="1" applyFill="1" applyBorder="1" applyAlignment="1">
      <alignment horizontal="justify" vertical="top" wrapText="1"/>
    </xf>
    <xf numFmtId="0" fontId="0" fillId="17" borderId="1" xfId="0" applyFill="1" applyBorder="1" applyAlignment="1">
      <alignment horizontal="left" vertical="top" wrapText="1"/>
    </xf>
    <xf numFmtId="0" fontId="31" fillId="17" borderId="1" xfId="0" applyFont="1" applyFill="1" applyBorder="1" applyAlignment="1">
      <alignment horizontal="justify" vertical="top" wrapText="1"/>
    </xf>
    <xf numFmtId="0" fontId="7" fillId="17" borderId="1" xfId="0" applyFont="1" applyFill="1" applyBorder="1" applyAlignment="1">
      <alignment horizontal="justify" vertical="top" wrapText="1"/>
    </xf>
    <xf numFmtId="0" fontId="68" fillId="17" borderId="5" xfId="0" applyFont="1" applyFill="1" applyBorder="1" applyAlignment="1">
      <alignment horizontal="justify" vertical="top" wrapText="1"/>
    </xf>
    <xf numFmtId="0" fontId="68" fillId="17" borderId="12" xfId="0" applyFont="1" applyFill="1" applyBorder="1" applyAlignment="1">
      <alignment horizontal="justify" vertical="top" wrapText="1"/>
    </xf>
    <xf numFmtId="0" fontId="0" fillId="17" borderId="10" xfId="0" applyFill="1" applyBorder="1" applyAlignment="1">
      <alignment horizontal="left" vertical="top" wrapText="1"/>
    </xf>
    <xf numFmtId="0" fontId="64" fillId="17" borderId="5" xfId="6" applyFont="1" applyFill="1" applyBorder="1" applyProtection="1"/>
    <xf numFmtId="0" fontId="0" fillId="17" borderId="35" xfId="0" applyFill="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justify" vertical="top"/>
    </xf>
    <xf numFmtId="0" fontId="68" fillId="0" borderId="1" xfId="0" applyFont="1" applyBorder="1" applyAlignment="1">
      <alignment horizontal="justify" vertical="top" wrapText="1"/>
    </xf>
    <xf numFmtId="168" fontId="68" fillId="0" borderId="1" xfId="0" applyNumberFormat="1" applyFont="1" applyBorder="1" applyAlignment="1">
      <alignment horizontal="left" vertical="top" wrapText="1"/>
    </xf>
    <xf numFmtId="0" fontId="54" fillId="0" borderId="1" xfId="0" applyFont="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justify" vertical="top" wrapText="1"/>
    </xf>
    <xf numFmtId="0" fontId="60" fillId="0" borderId="1" xfId="0" applyFont="1" applyBorder="1"/>
    <xf numFmtId="0" fontId="0" fillId="0" borderId="9" xfId="0" applyBorder="1" applyAlignment="1">
      <alignment horizontal="center" vertical="top" wrapText="1"/>
    </xf>
    <xf numFmtId="0" fontId="60" fillId="0" borderId="8" xfId="0" applyFont="1" applyBorder="1"/>
    <xf numFmtId="0" fontId="0" fillId="0" borderId="1" xfId="0" applyBorder="1" applyAlignment="1">
      <alignment horizontal="left" vertical="top"/>
    </xf>
    <xf numFmtId="0" fontId="68" fillId="0" borderId="1" xfId="0" applyFont="1" applyBorder="1" applyAlignment="1">
      <alignment vertical="top" wrapText="1"/>
    </xf>
    <xf numFmtId="0" fontId="0" fillId="0" borderId="1" xfId="0" applyBorder="1" applyAlignment="1">
      <alignment horizontal="left"/>
    </xf>
    <xf numFmtId="0" fontId="0" fillId="0" borderId="0" xfId="7" applyFont="1" applyProtection="1">
      <protection locked="0"/>
    </xf>
    <xf numFmtId="40" fontId="41" fillId="2" borderId="1" xfId="7" applyNumberFormat="1" applyFont="1" applyFill="1" applyBorder="1" applyAlignment="1" applyProtection="1">
      <alignment horizontal="left"/>
      <protection locked="0"/>
    </xf>
    <xf numFmtId="40" fontId="6" fillId="0" borderId="0" xfId="7" applyNumberFormat="1" applyAlignment="1" applyProtection="1">
      <alignment horizontal="left"/>
      <protection locked="0"/>
    </xf>
    <xf numFmtId="0" fontId="2" fillId="0" borderId="0" xfId="7" applyFont="1" applyProtection="1">
      <protection locked="0"/>
    </xf>
    <xf numFmtId="14" fontId="48" fillId="0" borderId="3" xfId="0" applyNumberFormat="1" applyFont="1" applyBorder="1" applyProtection="1">
      <protection locked="0"/>
    </xf>
    <xf numFmtId="0" fontId="1" fillId="0" borderId="0" xfId="7" applyFont="1" applyProtection="1">
      <protection locked="0"/>
    </xf>
    <xf numFmtId="0" fontId="0" fillId="0" borderId="0" xfId="0" applyAlignment="1">
      <alignment horizontal="center" wrapText="1"/>
    </xf>
    <xf numFmtId="0" fontId="0" fillId="0" borderId="3" xfId="0" applyBorder="1"/>
    <xf numFmtId="0" fontId="0" fillId="0" borderId="7" xfId="0" applyBorder="1" applyAlignment="1">
      <alignment horizontal="center" vertical="top"/>
    </xf>
    <xf numFmtId="0" fontId="48" fillId="0" borderId="0" xfId="0" applyFont="1" applyProtection="1">
      <protection locked="0"/>
    </xf>
    <xf numFmtId="0" fontId="0" fillId="0" borderId="3" xfId="0" applyBorder="1" applyAlignment="1" applyProtection="1">
      <alignment horizontal="center"/>
      <protection locked="0"/>
    </xf>
    <xf numFmtId="0" fontId="0" fillId="0" borderId="0" xfId="0" applyAlignment="1">
      <alignment horizontal="center" vertical="top"/>
    </xf>
    <xf numFmtId="37" fontId="52" fillId="4" borderId="3" xfId="0" applyNumberFormat="1" applyFont="1" applyFill="1" applyBorder="1"/>
    <xf numFmtId="0" fontId="68" fillId="0" borderId="0" xfId="0" applyFont="1"/>
    <xf numFmtId="0" fontId="0" fillId="0" borderId="0" xfId="0"/>
    <xf numFmtId="0" fontId="0" fillId="0" borderId="0" xfId="0" applyAlignment="1">
      <alignment horizontal="justify" wrapText="1"/>
    </xf>
    <xf numFmtId="0" fontId="0" fillId="0" borderId="3" xfId="0" applyBorder="1" applyProtection="1">
      <protection locked="0"/>
    </xf>
    <xf numFmtId="0" fontId="48" fillId="0" borderId="3" xfId="0" applyFont="1" applyBorder="1" applyProtection="1">
      <protection locked="0"/>
    </xf>
    <xf numFmtId="0" fontId="0" fillId="0" borderId="7" xfId="0" applyBorder="1" applyAlignment="1">
      <alignment horizontal="center"/>
    </xf>
    <xf numFmtId="0" fontId="68" fillId="0" borderId="0" xfId="0" applyFont="1" applyAlignment="1">
      <alignment horizontal="center" wrapText="1"/>
    </xf>
    <xf numFmtId="0" fontId="0" fillId="0" borderId="0" xfId="0" applyAlignment="1">
      <alignment horizontal="center"/>
    </xf>
    <xf numFmtId="0" fontId="35" fillId="4" borderId="0" xfId="0" applyFont="1" applyFill="1" applyAlignment="1">
      <alignment horizontal="left" vertical="center" wrapText="1"/>
    </xf>
    <xf numFmtId="0" fontId="35" fillId="4" borderId="14" xfId="0" applyFont="1" applyFill="1" applyBorder="1" applyAlignment="1">
      <alignment horizontal="left" vertical="center" wrapText="1"/>
    </xf>
    <xf numFmtId="0" fontId="7" fillId="0" borderId="0" xfId="0" applyFont="1" applyAlignment="1">
      <alignment horizontal="left"/>
    </xf>
    <xf numFmtId="0" fontId="35" fillId="0" borderId="0" xfId="0" applyFont="1" applyAlignment="1">
      <alignment horizontal="left" vertical="center" wrapText="1"/>
    </xf>
    <xf numFmtId="0" fontId="35" fillId="0" borderId="14" xfId="0" applyFont="1" applyBorder="1" applyAlignment="1">
      <alignment horizontal="left" vertical="center" wrapText="1"/>
    </xf>
    <xf numFmtId="0" fontId="48" fillId="4" borderId="0" xfId="0" applyFont="1" applyFill="1"/>
    <xf numFmtId="0" fontId="35" fillId="4" borderId="0" xfId="0" applyFont="1" applyFill="1" applyAlignment="1">
      <alignment horizontal="left" vertical="top" wrapText="1"/>
    </xf>
    <xf numFmtId="0" fontId="23" fillId="4" borderId="0" xfId="0" applyFont="1" applyFill="1" applyAlignment="1">
      <alignment vertical="top" wrapText="1"/>
    </xf>
    <xf numFmtId="0" fontId="11" fillId="0" borderId="0" xfId="0" applyFont="1" applyAlignment="1">
      <alignment horizontal="center"/>
    </xf>
    <xf numFmtId="0" fontId="12" fillId="0" borderId="0" xfId="0" applyFont="1" applyAlignment="1">
      <alignment horizontal="center"/>
    </xf>
    <xf numFmtId="0" fontId="8" fillId="16" borderId="0" xfId="6" applyFont="1" applyFill="1" applyAlignment="1" applyProtection="1">
      <alignment horizontal="center" wrapText="1"/>
    </xf>
    <xf numFmtId="0" fontId="33" fillId="6" borderId="0" xfId="6" applyFont="1" applyFill="1" applyAlignment="1" applyProtection="1">
      <alignment horizontal="center"/>
    </xf>
    <xf numFmtId="0" fontId="0" fillId="0" borderId="3" xfId="0" applyBorder="1" applyAlignment="1" applyProtection="1">
      <alignment horizontal="left"/>
      <protection locked="0"/>
    </xf>
    <xf numFmtId="0" fontId="0" fillId="0" borderId="34" xfId="0" applyBorder="1" applyAlignment="1" applyProtection="1">
      <alignment horizontal="left"/>
      <protection locked="0"/>
    </xf>
    <xf numFmtId="0" fontId="0" fillId="0" borderId="0" xfId="0" applyAlignment="1">
      <alignment horizontal="left"/>
    </xf>
    <xf numFmtId="0" fontId="7" fillId="0" borderId="0" xfId="0" applyFont="1"/>
    <xf numFmtId="49" fontId="48" fillId="4" borderId="3" xfId="0" applyNumberFormat="1" applyFont="1" applyFill="1" applyBorder="1" applyProtection="1">
      <protection locked="0"/>
    </xf>
    <xf numFmtId="49" fontId="0" fillId="4" borderId="3" xfId="0" applyNumberFormat="1" applyFill="1" applyBorder="1" applyProtection="1">
      <protection locked="0"/>
    </xf>
    <xf numFmtId="49" fontId="0" fillId="0" borderId="3" xfId="0" applyNumberFormat="1" applyBorder="1" applyAlignment="1">
      <alignment horizontal="center"/>
    </xf>
    <xf numFmtId="0" fontId="0" fillId="0" borderId="3" xfId="0" applyBorder="1" applyAlignment="1">
      <alignment horizontal="center"/>
    </xf>
    <xf numFmtId="0" fontId="24" fillId="0" borderId="1" xfId="0" applyFont="1" applyBorder="1" applyAlignment="1">
      <alignment horizontal="center" wrapText="1"/>
    </xf>
    <xf numFmtId="6" fontId="24" fillId="0" borderId="1" xfId="0" applyNumberFormat="1" applyFont="1" applyBorder="1" applyAlignment="1">
      <alignment horizontal="center"/>
    </xf>
    <xf numFmtId="0" fontId="18" fillId="6" borderId="0" xfId="6" applyFont="1" applyFill="1" applyBorder="1" applyAlignment="1" applyProtection="1">
      <alignment horizontal="center"/>
    </xf>
    <xf numFmtId="10" fontId="52" fillId="4" borderId="1" xfId="0" applyNumberFormat="1" applyFont="1" applyFill="1" applyBorder="1"/>
    <xf numFmtId="10" fontId="0" fillId="4" borderId="1" xfId="0" applyNumberFormat="1" applyFill="1" applyBorder="1"/>
    <xf numFmtId="10" fontId="0" fillId="4" borderId="1" xfId="0" applyNumberFormat="1" applyFill="1" applyBorder="1" applyAlignment="1">
      <alignment horizontal="right"/>
    </xf>
    <xf numFmtId="0" fontId="0" fillId="0" borderId="10"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xf>
    <xf numFmtId="37" fontId="52" fillId="0" borderId="10" xfId="0" applyNumberFormat="1" applyFont="1" applyBorder="1" applyAlignment="1">
      <alignment horizontal="right"/>
    </xf>
    <xf numFmtId="37" fontId="52" fillId="0" borderId="5" xfId="0" applyNumberFormat="1" applyFont="1" applyBorder="1" applyAlignment="1">
      <alignment horizontal="right"/>
    </xf>
    <xf numFmtId="0" fontId="0" fillId="0" borderId="0" xfId="0" applyAlignment="1">
      <alignment horizontal="left" wrapText="1"/>
    </xf>
    <xf numFmtId="10" fontId="52" fillId="4" borderId="15" xfId="0" applyNumberFormat="1" applyFont="1" applyFill="1" applyBorder="1"/>
    <xf numFmtId="10" fontId="0" fillId="4" borderId="5" xfId="0" applyNumberFormat="1" applyFill="1" applyBorder="1"/>
    <xf numFmtId="0" fontId="0" fillId="0" borderId="9" xfId="9" applyFont="1" applyBorder="1" applyAlignment="1">
      <alignment horizontal="center"/>
    </xf>
    <xf numFmtId="0" fontId="0" fillId="0" borderId="8" xfId="9" applyFont="1" applyBorder="1" applyAlignment="1">
      <alignment horizontal="center"/>
    </xf>
    <xf numFmtId="0" fontId="26" fillId="0" borderId="0" xfId="0" applyFont="1" applyAlignment="1">
      <alignment horizontal="left" vertical="center" wrapText="1"/>
    </xf>
    <xf numFmtId="0" fontId="18" fillId="6" borderId="3" xfId="6" applyFont="1" applyFill="1" applyBorder="1" applyProtection="1"/>
    <xf numFmtId="0" fontId="7" fillId="0" borderId="3" xfId="0" applyFont="1" applyBorder="1" applyAlignment="1">
      <alignment horizontal="center"/>
    </xf>
    <xf numFmtId="0" fontId="7" fillId="0" borderId="0" xfId="0" applyFont="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33" fillId="6" borderId="10" xfId="6" applyFont="1" applyFill="1" applyBorder="1" applyAlignment="1" applyProtection="1">
      <alignment horizontal="center" wrapText="1"/>
    </xf>
    <xf numFmtId="0" fontId="33" fillId="6" borderId="15" xfId="6" applyFont="1" applyFill="1" applyBorder="1" applyAlignment="1" applyProtection="1">
      <alignment horizontal="center" wrapText="1"/>
    </xf>
    <xf numFmtId="0" fontId="33" fillId="6" borderId="35" xfId="6" applyFont="1" applyFill="1" applyBorder="1" applyAlignment="1" applyProtection="1">
      <alignment horizontal="center" wrapText="1"/>
    </xf>
    <xf numFmtId="37" fontId="0" fillId="9" borderId="10" xfId="0" applyNumberFormat="1" applyFill="1" applyBorder="1" applyAlignment="1">
      <alignment horizontal="center"/>
    </xf>
    <xf numFmtId="37" fontId="0" fillId="9" borderId="5" xfId="0" applyNumberFormat="1" applyFill="1" applyBorder="1" applyAlignment="1">
      <alignment horizontal="center"/>
    </xf>
    <xf numFmtId="0" fontId="0" fillId="0" borderId="4" xfId="0" applyBorder="1" applyAlignment="1">
      <alignment horizontal="center"/>
    </xf>
    <xf numFmtId="37" fontId="52" fillId="0" borderId="5" xfId="0" applyNumberFormat="1" applyFont="1" applyBorder="1"/>
    <xf numFmtId="37" fontId="0" fillId="0" borderId="1" xfId="0" applyNumberFormat="1" applyBorder="1"/>
    <xf numFmtId="37" fontId="0" fillId="9" borderId="12" xfId="0" applyNumberFormat="1" applyFill="1" applyBorder="1" applyAlignment="1">
      <alignment horizontal="center"/>
    </xf>
    <xf numFmtId="37" fontId="0" fillId="9" borderId="2" xfId="0" applyNumberFormat="1" applyFill="1" applyBorder="1" applyAlignment="1">
      <alignment horizontal="center"/>
    </xf>
    <xf numFmtId="37" fontId="0" fillId="9" borderId="16" xfId="0" applyNumberFormat="1" applyFill="1" applyBorder="1" applyAlignment="1">
      <alignment horizontal="center"/>
    </xf>
    <xf numFmtId="37" fontId="0" fillId="9" borderId="1" xfId="0" applyNumberFormat="1" applyFill="1" applyBorder="1" applyAlignment="1">
      <alignment horizontal="center"/>
    </xf>
    <xf numFmtId="37" fontId="52" fillId="4" borderId="1" xfId="0" applyNumberFormat="1" applyFont="1" applyFill="1" applyBorder="1"/>
    <xf numFmtId="37" fontId="0" fillId="4" borderId="1" xfId="0" applyNumberFormat="1" applyFill="1" applyBorder="1"/>
    <xf numFmtId="37" fontId="0" fillId="9" borderId="15" xfId="0" applyNumberFormat="1" applyFill="1" applyBorder="1" applyAlignment="1">
      <alignment horizontal="center"/>
    </xf>
    <xf numFmtId="0" fontId="8" fillId="0" borderId="12" xfId="0" applyFont="1" applyBorder="1" applyAlignment="1">
      <alignment horizontal="center" wrapText="1"/>
    </xf>
    <xf numFmtId="0" fontId="8" fillId="0" borderId="13" xfId="0" applyFont="1" applyBorder="1" applyAlignment="1">
      <alignment horizontal="center" wrapText="1"/>
    </xf>
    <xf numFmtId="37" fontId="0" fillId="0" borderId="9" xfId="0" applyNumberFormat="1" applyBorder="1" applyAlignment="1" applyProtection="1">
      <alignment horizontal="right"/>
      <protection locked="0"/>
    </xf>
    <xf numFmtId="37" fontId="0" fillId="0" borderId="4" xfId="0" applyNumberFormat="1" applyBorder="1" applyAlignment="1" applyProtection="1">
      <alignment horizontal="right"/>
      <protection locked="0"/>
    </xf>
    <xf numFmtId="37" fontId="0" fillId="0" borderId="12" xfId="0" applyNumberFormat="1" applyBorder="1" applyAlignment="1" applyProtection="1">
      <alignment horizontal="right"/>
      <protection locked="0"/>
    </xf>
    <xf numFmtId="37" fontId="0" fillId="0" borderId="7" xfId="0" applyNumberFormat="1" applyBorder="1" applyAlignment="1" applyProtection="1">
      <alignment horizontal="right"/>
      <protection locked="0"/>
    </xf>
    <xf numFmtId="37" fontId="0" fillId="0" borderId="13" xfId="0" applyNumberFormat="1" applyBorder="1" applyAlignment="1" applyProtection="1">
      <alignment horizontal="right"/>
      <protection locked="0"/>
    </xf>
    <xf numFmtId="37" fontId="0" fillId="0" borderId="8" xfId="0" applyNumberFormat="1" applyBorder="1" applyAlignment="1" applyProtection="1">
      <alignment horizontal="right"/>
      <protection locked="0"/>
    </xf>
    <xf numFmtId="0" fontId="8" fillId="0" borderId="2" xfId="0" applyFont="1" applyBorder="1" applyAlignment="1">
      <alignment horizontal="center" wrapText="1"/>
    </xf>
    <xf numFmtId="0" fontId="8" fillId="0" borderId="0" xfId="0" applyFont="1" applyAlignment="1">
      <alignment horizontal="center" wrapText="1"/>
    </xf>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3" xfId="0" applyFont="1" applyBorder="1" applyAlignment="1">
      <alignment horizontal="center" wrapText="1"/>
    </xf>
    <xf numFmtId="0" fontId="8" fillId="0" borderId="17" xfId="0" applyFont="1" applyBorder="1" applyAlignment="1">
      <alignment horizontal="center" wrapText="1"/>
    </xf>
    <xf numFmtId="49" fontId="33" fillId="6" borderId="0" xfId="6" applyNumberFormat="1" applyFont="1" applyFill="1" applyBorder="1" applyAlignment="1" applyProtection="1">
      <alignment horizontal="left" vertical="top" wrapText="1"/>
    </xf>
    <xf numFmtId="0" fontId="8" fillId="0" borderId="7" xfId="0" applyFont="1" applyBorder="1" applyAlignment="1">
      <alignment horizontal="center" wrapText="1"/>
    </xf>
    <xf numFmtId="0" fontId="33" fillId="6" borderId="0" xfId="6" applyFont="1" applyFill="1" applyAlignment="1" applyProtection="1">
      <alignment wrapText="1"/>
    </xf>
    <xf numFmtId="0" fontId="33" fillId="6" borderId="0" xfId="6" applyFont="1" applyFill="1" applyBorder="1" applyAlignment="1" applyProtection="1">
      <alignment wrapText="1"/>
    </xf>
    <xf numFmtId="0" fontId="33" fillId="6" borderId="0" xfId="6" applyFont="1" applyFill="1" applyAlignment="1" applyProtection="1">
      <alignment horizontal="left" vertical="top" wrapText="1"/>
    </xf>
    <xf numFmtId="49" fontId="52" fillId="4" borderId="12" xfId="0" applyNumberFormat="1" applyFont="1" applyFill="1" applyBorder="1" applyAlignment="1" applyProtection="1">
      <alignment vertical="top" wrapText="1"/>
      <protection locked="0"/>
    </xf>
    <xf numFmtId="49" fontId="0" fillId="4" borderId="7"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6"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37" fontId="0" fillId="0" borderId="16" xfId="0" applyNumberFormat="1" applyBorder="1" applyAlignment="1" applyProtection="1">
      <alignment horizontal="right"/>
      <protection locked="0"/>
    </xf>
    <xf numFmtId="37" fontId="0" fillId="0" borderId="3" xfId="0" applyNumberFormat="1" applyBorder="1" applyAlignment="1" applyProtection="1">
      <alignment horizontal="right"/>
      <protection locked="0"/>
    </xf>
    <xf numFmtId="37" fontId="0" fillId="0" borderId="17" xfId="0" applyNumberFormat="1" applyBorder="1" applyAlignment="1" applyProtection="1">
      <alignment horizontal="right"/>
      <protection locked="0"/>
    </xf>
    <xf numFmtId="0" fontId="18" fillId="6" borderId="0" xfId="6" applyFont="1" applyFill="1" applyAlignment="1" applyProtection="1">
      <alignment horizontal="center"/>
    </xf>
    <xf numFmtId="37" fontId="52" fillId="4" borderId="5" xfId="0" applyNumberFormat="1" applyFont="1" applyFill="1" applyBorder="1"/>
    <xf numFmtId="37" fontId="0" fillId="4" borderId="21" xfId="0" applyNumberFormat="1" applyFill="1" applyBorder="1"/>
    <xf numFmtId="0" fontId="33" fillId="6" borderId="0" xfId="6" applyFont="1" applyFill="1" applyAlignment="1" applyProtection="1">
      <alignment horizontal="left"/>
    </xf>
    <xf numFmtId="0" fontId="0" fillId="0" borderId="0" xfId="6" applyFont="1" applyFill="1" applyBorder="1" applyAlignment="1" applyProtection="1">
      <alignment horizontal="left" wrapText="1"/>
    </xf>
    <xf numFmtId="0" fontId="33" fillId="6" borderId="0" xfId="6" applyFont="1" applyFill="1" applyAlignment="1" applyProtection="1">
      <alignment vertical="top" wrapText="1"/>
    </xf>
    <xf numFmtId="37" fontId="52" fillId="0" borderId="10" xfId="0" applyNumberFormat="1" applyFont="1" applyBorder="1"/>
    <xf numFmtId="37" fontId="0" fillId="0" borderId="33" xfId="0" applyNumberFormat="1" applyBorder="1" applyAlignment="1">
      <alignment horizontal="right"/>
    </xf>
    <xf numFmtId="0" fontId="14" fillId="6" borderId="0" xfId="6" applyFont="1" applyFill="1" applyAlignment="1" applyProtection="1">
      <alignment horizontal="left" vertical="center" wrapText="1"/>
    </xf>
    <xf numFmtId="0" fontId="14" fillId="6" borderId="0" xfId="6" applyFont="1" applyFill="1" applyBorder="1" applyAlignment="1" applyProtection="1">
      <alignment horizontal="left" vertical="center" wrapText="1"/>
    </xf>
    <xf numFmtId="37" fontId="52" fillId="0" borderId="10" xfId="0" applyNumberFormat="1" applyFont="1" applyBorder="1" applyAlignment="1" applyProtection="1">
      <alignment vertical="center"/>
      <protection locked="0"/>
    </xf>
    <xf numFmtId="37" fontId="0" fillId="0" borderId="33" xfId="0" applyNumberFormat="1" applyBorder="1" applyAlignment="1" applyProtection="1">
      <alignment horizontal="right" vertical="center"/>
      <protection locked="0"/>
    </xf>
    <xf numFmtId="0" fontId="33" fillId="6" borderId="0" xfId="6" applyFont="1" applyFill="1" applyBorder="1" applyAlignment="1" applyProtection="1">
      <alignment horizontal="center"/>
    </xf>
    <xf numFmtId="0" fontId="0" fillId="0" borderId="16" xfId="0" applyBorder="1" applyAlignment="1">
      <alignment horizontal="center"/>
    </xf>
    <xf numFmtId="0" fontId="0" fillId="0" borderId="17" xfId="0" applyBorder="1" applyAlignment="1">
      <alignment horizontal="center"/>
    </xf>
    <xf numFmtId="168" fontId="7" fillId="5" borderId="0" xfId="0" applyNumberFormat="1" applyFont="1" applyFill="1" applyAlignment="1">
      <alignment horizontal="center"/>
    </xf>
    <xf numFmtId="0" fontId="0" fillId="0" borderId="1" xfId="0" applyBorder="1" applyAlignment="1">
      <alignment horizontal="center"/>
    </xf>
    <xf numFmtId="168" fontId="31" fillId="5" borderId="0" xfId="0" applyNumberFormat="1" applyFont="1" applyFill="1" applyAlignment="1">
      <alignment horizontal="left"/>
    </xf>
    <xf numFmtId="168" fontId="31" fillId="5" borderId="14" xfId="0" applyNumberFormat="1" applyFont="1" applyFill="1" applyBorder="1" applyAlignment="1">
      <alignment horizontal="left"/>
    </xf>
    <xf numFmtId="168" fontId="0" fillId="5" borderId="0" xfId="0" applyNumberFormat="1" applyFill="1" applyAlignment="1">
      <alignment horizontal="left"/>
    </xf>
    <xf numFmtId="0" fontId="0" fillId="0" borderId="0" xfId="0" quotePrefix="1" applyAlignment="1">
      <alignment horizontal="left"/>
    </xf>
    <xf numFmtId="168" fontId="68" fillId="5" borderId="0" xfId="0" applyNumberFormat="1" applyFont="1" applyFill="1" applyAlignment="1">
      <alignment horizontal="left"/>
    </xf>
    <xf numFmtId="168" fontId="68" fillId="5" borderId="14" xfId="0" applyNumberFormat="1" applyFont="1" applyFill="1" applyBorder="1" applyAlignment="1">
      <alignment horizontal="left"/>
    </xf>
    <xf numFmtId="0" fontId="68" fillId="17" borderId="0" xfId="0" applyFont="1" applyFill="1" applyAlignment="1">
      <alignment wrapText="1"/>
    </xf>
    <xf numFmtId="168" fontId="33" fillId="6" borderId="0" xfId="6" applyNumberFormat="1" applyFont="1" applyFill="1" applyBorder="1" applyAlignment="1" applyProtection="1">
      <alignment horizontal="left"/>
    </xf>
    <xf numFmtId="0" fontId="68" fillId="0" borderId="0" xfId="0" applyFont="1" applyAlignment="1">
      <alignment wrapText="1"/>
    </xf>
    <xf numFmtId="168" fontId="0" fillId="5" borderId="14" xfId="0" applyNumberFormat="1" applyFill="1" applyBorder="1" applyAlignment="1">
      <alignment horizontal="left"/>
    </xf>
    <xf numFmtId="0" fontId="31" fillId="0" borderId="3" xfId="10" applyFont="1" applyBorder="1" applyAlignment="1">
      <alignment horizontal="center"/>
    </xf>
    <xf numFmtId="168" fontId="18" fillId="6" borderId="10" xfId="12" applyNumberFormat="1" applyFont="1" applyFill="1" applyBorder="1" applyAlignment="1" applyProtection="1">
      <alignment horizontal="center" wrapText="1"/>
    </xf>
    <xf numFmtId="168" fontId="18" fillId="6" borderId="5" xfId="12" applyNumberFormat="1" applyFont="1" applyFill="1" applyBorder="1" applyAlignment="1" applyProtection="1">
      <alignment horizontal="center" wrapText="1"/>
    </xf>
    <xf numFmtId="168" fontId="34" fillId="6" borderId="10" xfId="12" applyNumberFormat="1" applyFont="1" applyFill="1" applyBorder="1" applyAlignment="1" applyProtection="1">
      <alignment horizontal="center" wrapText="1"/>
    </xf>
    <xf numFmtId="168" fontId="34" fillId="6" borderId="5" xfId="12" applyNumberFormat="1" applyFont="1" applyFill="1" applyBorder="1" applyAlignment="1" applyProtection="1">
      <alignment horizontal="center" wrapText="1"/>
    </xf>
    <xf numFmtId="168" fontId="46" fillId="0" borderId="7" xfId="12" applyNumberFormat="1" applyFont="1" applyFill="1" applyBorder="1" applyAlignment="1" applyProtection="1">
      <alignment horizontal="left" vertical="top"/>
    </xf>
    <xf numFmtId="168" fontId="46" fillId="0" borderId="0" xfId="12" applyNumberFormat="1" applyFont="1" applyFill="1" applyBorder="1" applyAlignment="1" applyProtection="1">
      <alignment horizontal="left" vertical="top"/>
    </xf>
    <xf numFmtId="0" fontId="55" fillId="0" borderId="9" xfId="10" applyFont="1" applyBorder="1" applyAlignment="1">
      <alignment horizontal="center"/>
    </xf>
    <xf numFmtId="0" fontId="55" fillId="0" borderId="4" xfId="10" applyFont="1" applyBorder="1" applyAlignment="1">
      <alignment horizontal="center"/>
    </xf>
    <xf numFmtId="0" fontId="55" fillId="0" borderId="8" xfId="10" applyFont="1" applyBorder="1" applyAlignment="1">
      <alignment horizontal="center"/>
    </xf>
    <xf numFmtId="168" fontId="31" fillId="5" borderId="10" xfId="10" applyNumberFormat="1" applyFont="1" applyFill="1" applyBorder="1" applyAlignment="1">
      <alignment horizontal="center" vertical="center"/>
    </xf>
    <xf numFmtId="168" fontId="31" fillId="5" borderId="15" xfId="10" applyNumberFormat="1" applyFont="1" applyFill="1" applyBorder="1" applyAlignment="1">
      <alignment horizontal="center" vertical="center"/>
    </xf>
    <xf numFmtId="168" fontId="31" fillId="5" borderId="5" xfId="10" applyNumberFormat="1" applyFont="1" applyFill="1" applyBorder="1" applyAlignment="1">
      <alignment horizontal="center" vertical="center"/>
    </xf>
    <xf numFmtId="168" fontId="55" fillId="5" borderId="0" xfId="10" applyNumberFormat="1" applyFont="1" applyFill="1"/>
    <xf numFmtId="168" fontId="55" fillId="5" borderId="14" xfId="10" applyNumberFormat="1" applyFont="1" applyFill="1" applyBorder="1"/>
    <xf numFmtId="168" fontId="55" fillId="5" borderId="3" xfId="10" applyNumberFormat="1" applyFont="1" applyFill="1" applyBorder="1"/>
    <xf numFmtId="168" fontId="55" fillId="5" borderId="17" xfId="10" applyNumberFormat="1" applyFont="1" applyFill="1" applyBorder="1"/>
    <xf numFmtId="168" fontId="35" fillId="0" borderId="0" xfId="10" applyNumberFormat="1" applyFont="1" applyAlignment="1">
      <alignment horizontal="center" wrapText="1"/>
    </xf>
    <xf numFmtId="0" fontId="31" fillId="0" borderId="9" xfId="10" applyFont="1" applyBorder="1" applyAlignment="1">
      <alignment horizontal="left"/>
    </xf>
    <xf numFmtId="0" fontId="31" fillId="0" borderId="4" xfId="10" applyFont="1" applyBorder="1" applyAlignment="1">
      <alignment horizontal="left"/>
    </xf>
    <xf numFmtId="0" fontId="31" fillId="0" borderId="8" xfId="10" applyFont="1" applyBorder="1" applyAlignment="1">
      <alignment horizontal="left"/>
    </xf>
    <xf numFmtId="168" fontId="35" fillId="0" borderId="0" xfId="10" applyNumberFormat="1" applyFont="1" applyAlignment="1">
      <alignment horizontal="center" vertical="center" wrapText="1"/>
    </xf>
    <xf numFmtId="168" fontId="35" fillId="0" borderId="0" xfId="10" quotePrefix="1" applyNumberFormat="1" applyFont="1" applyAlignment="1">
      <alignment horizontal="center" vertical="center" wrapText="1"/>
    </xf>
    <xf numFmtId="0" fontId="18" fillId="6" borderId="9" xfId="6" applyFont="1" applyFill="1" applyBorder="1" applyProtection="1"/>
    <xf numFmtId="0" fontId="18" fillId="6" borderId="4" xfId="6" applyFont="1" applyFill="1" applyBorder="1" applyProtection="1"/>
    <xf numFmtId="0" fontId="18" fillId="6" borderId="8" xfId="6" applyFont="1" applyFill="1" applyBorder="1" applyProtection="1"/>
    <xf numFmtId="168" fontId="31" fillId="5" borderId="0" xfId="10" applyNumberFormat="1" applyFont="1" applyFill="1" applyAlignment="1">
      <alignment horizontal="left"/>
    </xf>
    <xf numFmtId="0" fontId="0" fillId="0" borderId="9"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8" fillId="6" borderId="12" xfId="6" applyFont="1" applyFill="1" applyBorder="1" applyProtection="1"/>
    <xf numFmtId="0" fontId="18" fillId="6" borderId="7" xfId="6" applyFont="1" applyFill="1" applyBorder="1" applyProtection="1"/>
    <xf numFmtId="0" fontId="18" fillId="6" borderId="13" xfId="6" applyFont="1" applyFill="1" applyBorder="1" applyProtection="1"/>
    <xf numFmtId="0" fontId="18" fillId="6" borderId="16" xfId="6" applyFont="1" applyFill="1" applyBorder="1" applyProtection="1"/>
    <xf numFmtId="0" fontId="18" fillId="6" borderId="17" xfId="6" applyFont="1" applyFill="1" applyBorder="1" applyProtection="1"/>
    <xf numFmtId="0" fontId="31" fillId="0" borderId="9" xfId="0" applyFont="1" applyBorder="1"/>
    <xf numFmtId="0" fontId="31" fillId="0" borderId="4" xfId="0" applyFont="1" applyBorder="1"/>
    <xf numFmtId="0" fontId="31" fillId="0" borderId="8" xfId="0" applyFont="1" applyBorder="1"/>
    <xf numFmtId="49" fontId="0" fillId="5" borderId="2" xfId="0" applyNumberFormat="1" applyFill="1" applyBorder="1" applyAlignment="1">
      <alignment horizontal="left" wrapText="1"/>
    </xf>
    <xf numFmtId="49" fontId="0" fillId="5" borderId="0" xfId="0" applyNumberFormat="1" applyFill="1" applyAlignment="1">
      <alignment horizontal="left" wrapText="1"/>
    </xf>
    <xf numFmtId="0" fontId="67" fillId="0" borderId="0" xfId="0" applyFont="1" applyAlignment="1">
      <alignment horizontal="center"/>
    </xf>
    <xf numFmtId="49" fontId="0" fillId="5" borderId="16" xfId="0" applyNumberFormat="1" applyFill="1" applyBorder="1" applyAlignment="1">
      <alignment wrapText="1"/>
    </xf>
    <xf numFmtId="49" fontId="0" fillId="5" borderId="3" xfId="0" applyNumberFormat="1" applyFill="1" applyBorder="1" applyAlignment="1">
      <alignment wrapText="1"/>
    </xf>
    <xf numFmtId="0" fontId="7" fillId="0" borderId="0" xfId="0" applyFont="1" applyAlignment="1">
      <alignment horizontal="right"/>
    </xf>
    <xf numFmtId="0" fontId="66" fillId="6" borderId="10" xfId="6" applyFont="1" applyFill="1" applyBorder="1" applyAlignment="1" applyProtection="1">
      <alignment horizontal="center"/>
    </xf>
    <xf numFmtId="0" fontId="66" fillId="6" borderId="5" xfId="6" applyFont="1" applyFill="1" applyBorder="1" applyAlignment="1" applyProtection="1">
      <alignment horizontal="center"/>
    </xf>
    <xf numFmtId="0" fontId="66" fillId="6" borderId="10" xfId="6" applyFont="1" applyFill="1" applyBorder="1" applyAlignment="1" applyProtection="1">
      <alignment horizontal="center" wrapText="1"/>
    </xf>
    <xf numFmtId="0" fontId="66" fillId="6" borderId="5" xfId="6" applyFont="1" applyFill="1" applyBorder="1" applyAlignment="1" applyProtection="1">
      <alignment horizontal="center" wrapText="1"/>
    </xf>
    <xf numFmtId="38" fontId="50" fillId="0" borderId="24" xfId="13" applyNumberFormat="1" applyFont="1" applyBorder="1" applyAlignment="1">
      <alignment horizontal="center" wrapText="1"/>
    </xf>
    <xf numFmtId="38" fontId="50" fillId="0" borderId="15" xfId="13" applyNumberFormat="1" applyFont="1" applyBorder="1" applyAlignment="1">
      <alignment horizontal="center" wrapText="1"/>
    </xf>
    <xf numFmtId="38" fontId="50" fillId="0" borderId="10" xfId="13" applyNumberFormat="1" applyFont="1" applyBorder="1" applyAlignment="1">
      <alignment horizontal="center" wrapText="1"/>
    </xf>
    <xf numFmtId="0" fontId="65" fillId="0" borderId="3" xfId="13" applyBorder="1" applyAlignment="1">
      <alignment horizontal="center"/>
    </xf>
    <xf numFmtId="37" fontId="50" fillId="0" borderId="22" xfId="13" applyNumberFormat="1" applyFont="1" applyBorder="1" applyAlignment="1">
      <alignment horizontal="center" wrapText="1"/>
    </xf>
    <xf numFmtId="37" fontId="50" fillId="0" borderId="25" xfId="13" applyNumberFormat="1" applyFont="1" applyBorder="1" applyAlignment="1">
      <alignment horizontal="center" wrapText="1"/>
    </xf>
    <xf numFmtId="37" fontId="50" fillId="0" borderId="27" xfId="13" applyNumberFormat="1" applyFont="1" applyBorder="1" applyAlignment="1">
      <alignment horizontal="center" wrapText="1"/>
    </xf>
    <xf numFmtId="168" fontId="57" fillId="6" borderId="0" xfId="6" applyNumberFormat="1" applyFont="1" applyFill="1" applyAlignment="1" applyProtection="1">
      <alignment horizontal="left"/>
    </xf>
    <xf numFmtId="0" fontId="0" fillId="0" borderId="0" xfId="0" applyAlignment="1">
      <alignment horizontal="left" vertical="top" wrapText="1"/>
    </xf>
    <xf numFmtId="0" fontId="0" fillId="0" borderId="14" xfId="0" applyBorder="1" applyAlignment="1">
      <alignment horizontal="left" vertical="top" wrapText="1"/>
    </xf>
    <xf numFmtId="37" fontId="7" fillId="0" borderId="0" xfId="8" applyNumberFormat="1" applyFont="1" applyAlignment="1">
      <alignment horizontal="left" wrapText="1"/>
    </xf>
    <xf numFmtId="168" fontId="34" fillId="6" borderId="0" xfId="6" applyNumberFormat="1" applyFont="1" applyFill="1" applyAlignment="1" applyProtection="1">
      <alignment horizontal="left"/>
    </xf>
    <xf numFmtId="0" fontId="0" fillId="0" borderId="0" xfId="0" quotePrefix="1" applyAlignment="1">
      <alignment horizontal="right" vertical="top"/>
    </xf>
    <xf numFmtId="0" fontId="55" fillId="0" borderId="0" xfId="0" applyFont="1"/>
    <xf numFmtId="0" fontId="55" fillId="0" borderId="0" xfId="0" applyFont="1" applyAlignment="1">
      <alignment horizontal="left" vertical="top" wrapText="1"/>
    </xf>
    <xf numFmtId="0" fontId="31" fillId="0" borderId="0" xfId="0" applyFont="1" applyAlignment="1">
      <alignment horizontal="left" vertical="top" wrapText="1"/>
    </xf>
    <xf numFmtId="0" fontId="31" fillId="0" borderId="14" xfId="0" applyFont="1" applyBorder="1" applyAlignment="1">
      <alignment horizontal="left" vertical="top" wrapText="1"/>
    </xf>
    <xf numFmtId="9" fontId="0" fillId="0" borderId="12" xfId="0" applyNumberFormat="1" applyBorder="1" applyAlignment="1" applyProtection="1">
      <alignment horizontal="center" wrapText="1"/>
      <protection locked="0"/>
    </xf>
    <xf numFmtId="9" fontId="0" fillId="0" borderId="7" xfId="0" applyNumberFormat="1" applyBorder="1" applyAlignment="1" applyProtection="1">
      <alignment horizontal="center" wrapText="1"/>
      <protection locked="0"/>
    </xf>
    <xf numFmtId="9" fontId="0" fillId="0" borderId="13" xfId="0" applyNumberFormat="1" applyBorder="1" applyAlignment="1" applyProtection="1">
      <alignment horizontal="center" wrapText="1"/>
      <protection locked="0"/>
    </xf>
    <xf numFmtId="9" fontId="0" fillId="0" borderId="2" xfId="0" applyNumberFormat="1" applyBorder="1" applyAlignment="1" applyProtection="1">
      <alignment horizontal="center" wrapText="1"/>
      <protection locked="0"/>
    </xf>
    <xf numFmtId="9" fontId="0" fillId="0" borderId="0" xfId="0" applyNumberFormat="1" applyAlignment="1" applyProtection="1">
      <alignment horizontal="center" wrapText="1"/>
      <protection locked="0"/>
    </xf>
    <xf numFmtId="9" fontId="0" fillId="0" borderId="14" xfId="0" applyNumberFormat="1" applyBorder="1" applyAlignment="1" applyProtection="1">
      <alignment horizontal="center" wrapText="1"/>
      <protection locked="0"/>
    </xf>
    <xf numFmtId="9" fontId="0" fillId="0" borderId="16" xfId="0" applyNumberFormat="1" applyBorder="1" applyAlignment="1" applyProtection="1">
      <alignment horizontal="center" wrapText="1"/>
      <protection locked="0"/>
    </xf>
    <xf numFmtId="9" fontId="0" fillId="0" borderId="3" xfId="0" applyNumberFormat="1" applyBorder="1" applyAlignment="1" applyProtection="1">
      <alignment horizontal="center" wrapText="1"/>
      <protection locked="0"/>
    </xf>
    <xf numFmtId="9" fontId="0" fillId="0" borderId="17" xfId="0" applyNumberFormat="1" applyBorder="1" applyAlignment="1" applyProtection="1">
      <alignment horizontal="center" wrapText="1"/>
      <protection locked="0"/>
    </xf>
    <xf numFmtId="0" fontId="7" fillId="0" borderId="9" xfId="0" applyFont="1" applyBorder="1" applyAlignment="1">
      <alignment horizontal="left" wrapText="1"/>
    </xf>
    <xf numFmtId="0" fontId="7" fillId="0" borderId="4" xfId="0" applyFont="1" applyBorder="1" applyAlignment="1">
      <alignment horizontal="left" wrapText="1"/>
    </xf>
    <xf numFmtId="0" fontId="7" fillId="0" borderId="8" xfId="0" applyFont="1" applyBorder="1" applyAlignment="1">
      <alignment horizontal="left" wrapText="1"/>
    </xf>
    <xf numFmtId="9" fontId="0" fillId="0" borderId="9" xfId="0" applyNumberFormat="1" applyBorder="1" applyAlignment="1" applyProtection="1">
      <alignment horizontal="center" wrapText="1"/>
      <protection locked="0"/>
    </xf>
    <xf numFmtId="9" fontId="0" fillId="0" borderId="4" xfId="0" applyNumberFormat="1" applyBorder="1" applyAlignment="1" applyProtection="1">
      <alignment horizontal="center" wrapText="1"/>
      <protection locked="0"/>
    </xf>
    <xf numFmtId="9" fontId="0" fillId="0" borderId="8" xfId="0" applyNumberFormat="1"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59" fillId="0" borderId="9" xfId="7" applyFont="1" applyBorder="1" applyAlignment="1">
      <alignment horizontal="center"/>
    </xf>
    <xf numFmtId="0" fontId="59" fillId="0" borderId="4" xfId="7" applyFont="1" applyBorder="1" applyAlignment="1">
      <alignment horizontal="center"/>
    </xf>
    <xf numFmtId="0" fontId="59" fillId="0" borderId="8" xfId="7" applyFont="1" applyBorder="1" applyAlignment="1">
      <alignment horizontal="center"/>
    </xf>
    <xf numFmtId="168" fontId="57" fillId="6" borderId="0" xfId="6" applyNumberFormat="1" applyFont="1" applyFill="1" applyAlignment="1" applyProtection="1">
      <alignment horizontal="center"/>
    </xf>
    <xf numFmtId="0" fontId="14" fillId="17" borderId="10" xfId="6" quotePrefix="1" applyFont="1" applyFill="1" applyBorder="1" applyAlignment="1" applyProtection="1">
      <alignment horizontal="center" vertical="top" wrapText="1"/>
    </xf>
    <xf numFmtId="0" fontId="14" fillId="17" borderId="5" xfId="6" quotePrefix="1" applyFont="1" applyFill="1" applyBorder="1" applyAlignment="1" applyProtection="1">
      <alignment horizontal="center" vertical="top" wrapText="1"/>
    </xf>
    <xf numFmtId="0" fontId="68" fillId="17" borderId="10" xfId="0" applyFont="1" applyFill="1" applyBorder="1" applyAlignment="1">
      <alignment horizontal="center" vertical="top" wrapText="1"/>
    </xf>
    <xf numFmtId="0" fontId="68" fillId="17" borderId="16" xfId="0" applyFont="1" applyFill="1" applyBorder="1" applyAlignment="1">
      <alignment horizontal="center" vertical="top" wrapText="1"/>
    </xf>
    <xf numFmtId="168" fontId="14" fillId="5" borderId="12" xfId="6" applyNumberFormat="1" applyFont="1" applyFill="1" applyBorder="1" applyAlignment="1" applyProtection="1">
      <alignment horizontal="center" vertical="center"/>
    </xf>
    <xf numFmtId="168" fontId="14" fillId="5" borderId="13" xfId="6" applyNumberFormat="1" applyFont="1" applyFill="1" applyBorder="1" applyAlignment="1" applyProtection="1">
      <alignment horizontal="center" vertical="center"/>
    </xf>
    <xf numFmtId="168" fontId="14" fillId="5" borderId="2" xfId="6" applyNumberFormat="1" applyFont="1" applyFill="1" applyBorder="1" applyAlignment="1" applyProtection="1">
      <alignment horizontal="center" vertical="center"/>
    </xf>
    <xf numFmtId="168" fontId="14" fillId="5" borderId="14" xfId="6" applyNumberFormat="1" applyFont="1" applyFill="1" applyBorder="1" applyAlignment="1" applyProtection="1">
      <alignment horizontal="center" vertical="center"/>
    </xf>
    <xf numFmtId="168" fontId="14" fillId="5" borderId="16" xfId="6" applyNumberFormat="1" applyFont="1" applyFill="1" applyBorder="1" applyAlignment="1" applyProtection="1">
      <alignment horizontal="center" vertical="center"/>
    </xf>
    <xf numFmtId="168" fontId="14" fillId="5" borderId="17" xfId="6" applyNumberFormat="1" applyFont="1" applyFill="1" applyBorder="1" applyAlignment="1" applyProtection="1">
      <alignment horizontal="center" vertical="center"/>
    </xf>
    <xf numFmtId="168" fontId="33" fillId="5" borderId="10" xfId="6" applyNumberFormat="1" applyFont="1" applyFill="1" applyBorder="1" applyAlignment="1" applyProtection="1">
      <alignment horizontal="center" vertical="top" wrapText="1"/>
    </xf>
    <xf numFmtId="168" fontId="33" fillId="5" borderId="5" xfId="6" applyNumberFormat="1" applyFont="1" applyFill="1" applyBorder="1" applyAlignment="1" applyProtection="1">
      <alignment horizontal="center" vertical="top" wrapText="1"/>
    </xf>
    <xf numFmtId="168" fontId="0" fillId="0" borderId="10" xfId="0" applyNumberFormat="1" applyBorder="1" applyAlignment="1">
      <alignment horizontal="center" vertical="top"/>
    </xf>
    <xf numFmtId="168" fontId="0" fillId="0" borderId="5" xfId="0" applyNumberFormat="1" applyBorder="1" applyAlignment="1">
      <alignment horizontal="center" vertical="top"/>
    </xf>
    <xf numFmtId="0" fontId="14" fillId="0" borderId="13" xfId="6" applyFont="1" applyFill="1" applyBorder="1" applyAlignment="1" applyProtection="1">
      <alignment horizontal="center" vertical="top"/>
    </xf>
    <xf numFmtId="0" fontId="14" fillId="0" borderId="17" xfId="6" applyFont="1" applyFill="1" applyBorder="1" applyAlignment="1" applyProtection="1">
      <alignment horizontal="center" vertical="top"/>
    </xf>
    <xf numFmtId="168" fontId="0" fillId="0" borderId="10" xfId="0" applyNumberFormat="1" applyBorder="1" applyAlignment="1">
      <alignment horizontal="center" vertical="top" wrapText="1"/>
    </xf>
    <xf numFmtId="168" fontId="0" fillId="0" borderId="16" xfId="0" applyNumberFormat="1" applyBorder="1" applyAlignment="1">
      <alignment horizontal="center"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Hyperlink 2" xfId="12" xr:uid="{00000000-0005-0000-0000-00000C000000}"/>
    <cellStyle name="Hyperlink 3" xfId="14" xr:uid="{00000000-0005-0000-0000-00000E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 5" xfId="13" xr:uid="{00000000-0005-0000-0000-00000D000000}"/>
    <cellStyle name="Normal_budget03" xfId="9" xr:uid="{00000000-0005-0000-0000-000009000000}"/>
    <cellStyle name="Percent" xfId="1" xr:uid="{00000000-0005-0000-0000-000001000000}"/>
  </cellStyles>
  <dxfs count="8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rgb="FFFF00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ont>
        <b/>
        <i/>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patternType="none"/>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patternType="none"/>
      </fill>
    </dxf>
  </dxfs>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Accounting_Data_Tab"/></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1721485</xdr:colOff>
      <xdr:row>0</xdr:row>
      <xdr:rowOff>261620</xdr:rowOff>
    </xdr:to>
    <xdr:sp macro="" textlink="">
      <xdr:nvSpPr>
        <xdr:cNvPr id="156" name="TextBox 4">
          <a:hlinkClick xmlns:r="http://schemas.openxmlformats.org/officeDocument/2006/relationships" r:id="rId1"/>
          <a:extLst>
            <a:ext uri="{FF2B5EF4-FFF2-40B4-BE49-F238E27FC236}">
              <a16:creationId xmlns:a16="http://schemas.microsoft.com/office/drawing/2014/main" id="{00000000-0008-0000-1100-00009C000000}"/>
            </a:ext>
          </a:extLst>
        </xdr:cNvPr>
        <xdr:cNvSpPr txBox="1"/>
      </xdr:nvSpPr>
      <xdr:spPr>
        <a:xfrm>
          <a:off x="0" y="0"/>
          <a:ext cx="4769485" cy="26162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b="1"/>
            <a:t>Accounting</a:t>
          </a:r>
          <a:r>
            <a:rPr lang="en-US" sz="1200" b="1" baseline="0"/>
            <a:t> data tab instructions </a:t>
          </a:r>
          <a:r>
            <a:rPr lang="en-US" sz="1100" b="1" baseline="0"/>
            <a:t>can</a:t>
          </a:r>
          <a:r>
            <a:rPr lang="en-US" sz="1200" b="1" baseline="0"/>
            <a:t> be </a:t>
          </a:r>
          <a:r>
            <a:rPr lang="en-US" sz="1100" b="1" baseline="0"/>
            <a:t>found</a:t>
          </a:r>
          <a:r>
            <a:rPr lang="en-US" sz="1200" b="1" baseline="0"/>
            <a:t> on the instructions tab.</a:t>
          </a:r>
          <a:endParaRPr lang="en-US" sz="1200" b="1"/>
        </a:p>
      </xdr:txBody>
    </xdr:sp>
    <xdr:clientData fPrintsWithSheet="0"/>
  </xdr:twoCellAnchor>
  <xdr:twoCellAnchor>
    <xdr:from>
      <xdr:col>1</xdr:col>
      <xdr:colOff>1781175</xdr:colOff>
      <xdr:row>0</xdr:row>
      <xdr:rowOff>0</xdr:rowOff>
    </xdr:from>
    <xdr:to>
      <xdr:col>3</xdr:col>
      <xdr:colOff>1295400</xdr:colOff>
      <xdr:row>0</xdr:row>
      <xdr:rowOff>314325</xdr:rowOff>
    </xdr:to>
    <xdr:sp macro="" textlink="">
      <xdr:nvSpPr>
        <xdr:cNvPr id="161" name="Rectangle 1">
          <a:extLst>
            <a:ext uri="{FF2B5EF4-FFF2-40B4-BE49-F238E27FC236}">
              <a16:creationId xmlns:a16="http://schemas.microsoft.com/office/drawing/2014/main" id="{00000000-0008-0000-1100-0000A1000000}"/>
            </a:ext>
          </a:extLst>
        </xdr:cNvPr>
        <xdr:cNvSpPr/>
      </xdr:nvSpPr>
      <xdr:spPr>
        <a:xfrm>
          <a:off x="4524375" y="0"/>
          <a:ext cx="4267200" cy="31432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b="1">
              <a:solidFill>
                <a:schemeClr val="tx1"/>
              </a:solidFill>
            </a:rPr>
            <a:t>Accounting data must be reported</a:t>
          </a:r>
          <a:r>
            <a:rPr lang="en-US" sz="1100" b="1" baseline="0">
              <a:solidFill>
                <a:schemeClr val="tx1"/>
              </a:solidFill>
            </a:rPr>
            <a:t> in accordance with the USFRCS. </a:t>
          </a:r>
          <a:endParaRPr 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mg-file\corporate$\Financial%20Systems\CFO\ADE-%20AFR\AFR%20FY24-25\PRA\budget25.xlsx" TargetMode="External"/><Relationship Id="rId1" Type="http://schemas.openxmlformats.org/officeDocument/2006/relationships/externalLinkPath" Target="budget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mg-file\corporate$\Financial%20Systems\CFO\ADE-%20AFR\AFR%20FY24-25\PRA\afr24.xlsx" TargetMode="External"/><Relationship Id="rId1" Type="http://schemas.openxmlformats.org/officeDocument/2006/relationships/externalLinkPath" Target="af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Project balances"/>
      <sheetName val="Data Entry"/>
      <sheetName val="Calculations"/>
      <sheetName val="BSA55"/>
      <sheetName val="Instructions"/>
      <sheetName val="budget25"/>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IP1072P265F1000" refersTo="='Page 4'!$N$30"/>
      <definedName name="CIP1072P265F2100" refersTo="='Page 4'!$N$32"/>
      <definedName name="CIP1072P265F2200" refersTo="='Page 4'!$N$33"/>
      <definedName name="CIP1072P265F2300" refersTo="='Page 4'!$N$34"/>
      <definedName name="CIP1072P265F2400" refersTo="='Page 4'!$N$35"/>
      <definedName name="CIP1072P265F2500" refersTo="='Page 4'!$N$36"/>
      <definedName name="CIP1072P265F2600" refersTo="='Page 4'!$N$37"/>
      <definedName name="CIP1072P265F2900" refersTo="='Page 4'!$N$38"/>
      <definedName name="CIP1072P435F2700" refersTo="='Page 4'!$N$42"/>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s>
    <sheetDataSet>
      <sheetData sheetId="0"/>
      <sheetData sheetId="1"/>
      <sheetData sheetId="2">
        <row r="8">
          <cell r="L8">
            <v>1435666</v>
          </cell>
        </row>
        <row r="10">
          <cell r="L10">
            <v>108692</v>
          </cell>
        </row>
        <row r="11">
          <cell r="L11">
            <v>119069</v>
          </cell>
        </row>
        <row r="12">
          <cell r="L12">
            <v>181642</v>
          </cell>
        </row>
        <row r="13">
          <cell r="L13">
            <v>211463</v>
          </cell>
        </row>
        <row r="14">
          <cell r="L14">
            <v>362520</v>
          </cell>
        </row>
        <row r="15">
          <cell r="L15">
            <v>669754</v>
          </cell>
        </row>
        <row r="16">
          <cell r="L16">
            <v>0</v>
          </cell>
        </row>
        <row r="17">
          <cell r="L17">
            <v>0</v>
          </cell>
        </row>
        <row r="18">
          <cell r="L18">
            <v>0</v>
          </cell>
        </row>
        <row r="19">
          <cell r="L19">
            <v>0</v>
          </cell>
        </row>
        <row r="20">
          <cell r="L20">
            <v>0</v>
          </cell>
        </row>
        <row r="21">
          <cell r="L21">
            <v>0</v>
          </cell>
        </row>
        <row r="22">
          <cell r="L22">
            <v>0</v>
          </cell>
        </row>
        <row r="25">
          <cell r="L25">
            <v>122575</v>
          </cell>
        </row>
        <row r="27">
          <cell r="L27">
            <v>41001</v>
          </cell>
        </row>
        <row r="28">
          <cell r="L28">
            <v>40209</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0</v>
          </cell>
        </row>
        <row r="44">
          <cell r="L44">
            <v>550242</v>
          </cell>
        </row>
        <row r="45">
          <cell r="L45">
            <v>18680</v>
          </cell>
        </row>
        <row r="46">
          <cell r="L46">
            <v>0</v>
          </cell>
        </row>
        <row r="47">
          <cell r="L47">
            <v>0</v>
          </cell>
        </row>
        <row r="48">
          <cell r="L48">
            <v>48025</v>
          </cell>
        </row>
      </sheetData>
      <sheetData sheetId="3">
        <row r="5">
          <cell r="E5">
            <v>0</v>
          </cell>
          <cell r="N5">
            <v>203785</v>
          </cell>
        </row>
        <row r="6">
          <cell r="E6">
            <v>0</v>
          </cell>
          <cell r="N6">
            <v>0</v>
          </cell>
        </row>
        <row r="7">
          <cell r="E7">
            <v>0</v>
          </cell>
          <cell r="N7">
            <v>0</v>
          </cell>
        </row>
        <row r="8">
          <cell r="E8">
            <v>0</v>
          </cell>
          <cell r="N8">
            <v>0</v>
          </cell>
        </row>
        <row r="9">
          <cell r="E9">
            <v>0</v>
          </cell>
          <cell r="N9">
            <v>0</v>
          </cell>
        </row>
        <row r="10">
          <cell r="E10">
            <v>0</v>
          </cell>
          <cell r="N10">
            <v>0</v>
          </cell>
        </row>
        <row r="11">
          <cell r="E11">
            <v>0</v>
          </cell>
          <cell r="N11">
            <v>0</v>
          </cell>
        </row>
        <row r="12">
          <cell r="E12">
            <v>0</v>
          </cell>
        </row>
        <row r="13">
          <cell r="E13">
            <v>0</v>
          </cell>
        </row>
        <row r="14">
          <cell r="E14">
            <v>0</v>
          </cell>
          <cell r="N14">
            <v>0</v>
          </cell>
        </row>
        <row r="15">
          <cell r="E15">
            <v>0</v>
          </cell>
        </row>
        <row r="16">
          <cell r="E16">
            <v>0</v>
          </cell>
        </row>
        <row r="17">
          <cell r="E17">
            <v>0</v>
          </cell>
        </row>
        <row r="18">
          <cell r="E18">
            <v>0</v>
          </cell>
        </row>
        <row r="19">
          <cell r="E19">
            <v>0</v>
          </cell>
        </row>
        <row r="20">
          <cell r="E20">
            <v>0</v>
          </cell>
        </row>
        <row r="21">
          <cell r="E21">
            <v>38025</v>
          </cell>
          <cell r="N21">
            <v>0</v>
          </cell>
        </row>
        <row r="22">
          <cell r="N22">
            <v>0</v>
          </cell>
        </row>
        <row r="23">
          <cell r="N23">
            <v>0</v>
          </cell>
        </row>
        <row r="24">
          <cell r="E24">
            <v>0</v>
          </cell>
          <cell r="N24">
            <v>18680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10000</v>
          </cell>
        </row>
        <row r="40">
          <cell r="E40">
            <v>0</v>
          </cell>
        </row>
        <row r="41">
          <cell r="E41">
            <v>0</v>
          </cell>
        </row>
        <row r="42">
          <cell r="E42">
            <v>0</v>
          </cell>
        </row>
        <row r="43">
          <cell r="E43">
            <v>0</v>
          </cell>
        </row>
        <row r="44">
          <cell r="E44">
            <v>0</v>
          </cell>
        </row>
        <row r="45">
          <cell r="E45">
            <v>0</v>
          </cell>
        </row>
      </sheetData>
      <sheetData sheetId="4">
        <row r="8">
          <cell r="K8">
            <v>300381</v>
          </cell>
        </row>
        <row r="9">
          <cell r="K9">
            <v>161139</v>
          </cell>
        </row>
        <row r="10">
          <cell r="K10">
            <v>88722</v>
          </cell>
        </row>
        <row r="11">
          <cell r="K11">
            <v>0</v>
          </cell>
        </row>
        <row r="12">
          <cell r="K12">
            <v>0</v>
          </cell>
        </row>
        <row r="17">
          <cell r="F17">
            <v>0</v>
          </cell>
        </row>
        <row r="18">
          <cell r="F18">
            <v>0</v>
          </cell>
        </row>
        <row r="19">
          <cell r="F19">
            <v>0</v>
          </cell>
        </row>
      </sheetData>
      <sheetData sheetId="5">
        <row r="9">
          <cell r="N9">
            <v>0</v>
          </cell>
        </row>
        <row r="11">
          <cell r="N11">
            <v>0</v>
          </cell>
        </row>
        <row r="12">
          <cell r="N12">
            <v>0</v>
          </cell>
        </row>
        <row r="13">
          <cell r="N13">
            <v>0</v>
          </cell>
        </row>
        <row r="14">
          <cell r="N14">
            <v>0</v>
          </cell>
        </row>
        <row r="15">
          <cell r="N15">
            <v>0</v>
          </cell>
        </row>
        <row r="16">
          <cell r="N16">
            <v>0</v>
          </cell>
        </row>
        <row r="17">
          <cell r="N17">
            <v>0</v>
          </cell>
        </row>
        <row r="21">
          <cell r="N21">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Page 1"/>
      <sheetName val="Page 2"/>
      <sheetName val="Page 3"/>
      <sheetName val="Page 4"/>
      <sheetName val="Page 5"/>
      <sheetName val="Page 6"/>
      <sheetName val="Page 7"/>
      <sheetName val="Page 8"/>
      <sheetName val="Page 9"/>
      <sheetName val="Page 10"/>
      <sheetName val="Summary"/>
      <sheetName val="Project balance reserves"/>
      <sheetName val="School listing"/>
      <sheetName val="Alerts"/>
      <sheetName val="Instructions"/>
      <sheetName val="Accounting data"/>
      <sheetName val="Calculations"/>
      <sheetName val="afr24"/>
    </sheetNames>
    <definedNames>
      <definedName name="AddlInstrImprProjEndBal" refersTo="='Page 4'!$F$19"/>
      <definedName name="CashBal" refersTo="='Page 6'!$F$6"/>
      <definedName name="CIP1072EndBal" refersTo="='Page 5'!$O$48"/>
      <definedName name="FP11001130EndBal" refersTo="='Page 8'!$N$6"/>
      <definedName name="FP11401150EndBal" refersTo="='Page 8'!$N$7"/>
      <definedName name="FP1160EndBal" refersTo="='Page 8'!$N$8"/>
      <definedName name="FP11701180EndBal" refersTo="='Page 8'!$N$9"/>
      <definedName name="FP1190EndBal" refersTo="='Page 8'!$N$10"/>
      <definedName name="FP1200EndBal" refersTo="='Page 8'!$N$11"/>
      <definedName name="FP1210EndBal" refersTo="='Page 8'!$N$12"/>
      <definedName name="FP1220EndBal" refersTo="='Page 8'!$N$13"/>
      <definedName name="FP1230EndBal" refersTo="='Page 8'!$N$14"/>
      <definedName name="FP1240EndBal" refersTo="='Page 8'!$N$15"/>
      <definedName name="FP1250EndBal" refersTo="='Page 8'!$N$16"/>
      <definedName name="FP1260EndBal" refersTo="='Page 8'!$N$17"/>
      <definedName name="FP1280EndBal" refersTo="='Page 8'!$N$18"/>
      <definedName name="FP1290EndBal" refersTo="='Page 8'!$N$19"/>
      <definedName name="FP1300EndBal" refersTo="='Page 8'!$N$20"/>
      <definedName name="FP13101399EndBal" refersTo="='Page 8'!$N$22"/>
      <definedName name="FP13XXImpactAidEndBal" refersTo="='Page 8'!$N$21"/>
      <definedName name="SEIP1071EndBal" refersTo="='Page 5'!$O$26"/>
      <definedName name="SP1000ClassSiteProj" refersTo="='Page 2'!$J$43"/>
      <definedName name="SP1000CompInstrProj" refersTo="='Page 2'!$J$46"/>
      <definedName name="SP1000FedStProj" refersTo="='Page 2'!$J$47"/>
      <definedName name="SP1000InstrImpProj" refersTo="='Page 2'!$J$44"/>
      <definedName name="SP1000P100F1000" refersTo="='Page 2'!$J$7"/>
      <definedName name="SP1000P100F2100" refersTo="='Page 2'!$J$9"/>
      <definedName name="SP1000P100F2200" refersTo="='Page 2'!$J$10"/>
      <definedName name="SP1000P100F2300" refersTo="='Page 2'!$J$11"/>
      <definedName name="SP1000P100F2400" refersTo="='Page 2'!$J$12"/>
      <definedName name="SP1000P100F2500" refersTo="='Page 2'!$J$13"/>
      <definedName name="SP1000P100F2600" refersTo="='Page 2'!$J$14"/>
      <definedName name="SP1000P100F2900" refersTo="='Page 2'!$J$15"/>
      <definedName name="SP1000P100F3000" refersTo="='Page 2'!$J$16"/>
      <definedName name="SP1000P100F4000" refersTo="='Page 2'!$J$17"/>
      <definedName name="SP1000P100F5000" refersTo="='Page 2'!$J$18"/>
      <definedName name="SP1000P200F1000" refersTo="='Page 2'!$J$25"/>
      <definedName name="SP1000P200F2100" refersTo="='Page 2'!$J$27"/>
      <definedName name="SP1000P200F2200" refersTo="='Page 2'!$J$28"/>
      <definedName name="SP1000P200F2300" refersTo="='Page 2'!$J$29"/>
      <definedName name="SP1000P200F2400" refersTo="='Page 2'!$J$30"/>
      <definedName name="SP1000P200F2500" refersTo="='Page 2'!$J$31"/>
      <definedName name="SP1000P200F2600" refersTo="='Page 2'!$J$32"/>
      <definedName name="SP1000P200F2900" refersTo="='Page 2'!$J$33"/>
      <definedName name="SP1000P200F3000" refersTo="='Page 2'!$J$34"/>
      <definedName name="SP1000P200F4000" refersTo="='Page 2'!$J$35"/>
      <definedName name="SP1000P200F5000" refersTo="='Page 2'!$J$36"/>
      <definedName name="SP1000P400" refersTo="='Page 2'!$J$38"/>
      <definedName name="SP1000P530" refersTo="='Page 2'!$J$39"/>
      <definedName name="SP1000P540" refersTo="='Page 2'!$J$40"/>
      <definedName name="SP1000P550" refersTo="='Page 2'!$J$41"/>
      <definedName name="SP1000P610" refersTo="='Page 2'!$J$19"/>
      <definedName name="SP1000P620" refersTo="='Page 2'!$J$20"/>
      <definedName name="SP1000P630700800900" refersTo="='Page 2'!$J$22"/>
      <definedName name="SP1000StruEngImmProj" refersTo="='Page 2'!$J$45"/>
      <definedName name="StP1400EndBal" refersTo="='Page 8'!$N$28"/>
      <definedName name="StP1410EndBal" refersTo="='Page 8'!$N$29"/>
      <definedName name="StP1420EndBal" refersTo="='Page 8'!$N$30"/>
      <definedName name="StP1425EndBal" refersTo="='Page 8'!$N$31"/>
      <definedName name="StP1430EndBal" refersTo="='Page 8'!$N$32"/>
      <definedName name="StP1435EndBal" refersTo="='Page 8'!$N$33"/>
      <definedName name="StP1450EndBal" refersTo="='Page 8'!$N$34"/>
      <definedName name="StP1456EndBal" refersTo="='Page 8'!$N$35"/>
      <definedName name="StP1460EndBal" refersTo="='Page 8'!$N$36"/>
      <definedName name="StP1465EndBal" refersTo="='Page 8'!$N$37"/>
      <definedName name="StP14701499EndBal" refersTo="='Page 8'!$N$39"/>
      <definedName name="StP14XXEndBal" refersTo="='Page 8'!$N$38"/>
    </definedNames>
    <sheetDataSet>
      <sheetData sheetId="0"/>
      <sheetData sheetId="1"/>
      <sheetData sheetId="2">
        <row r="7">
          <cell r="J7">
            <v>1034123</v>
          </cell>
        </row>
        <row r="9">
          <cell r="J9">
            <v>160885</v>
          </cell>
        </row>
        <row r="10">
          <cell r="J10">
            <v>56861</v>
          </cell>
        </row>
        <row r="11">
          <cell r="J11">
            <v>136593</v>
          </cell>
        </row>
        <row r="12">
          <cell r="J12">
            <v>148616</v>
          </cell>
        </row>
        <row r="13">
          <cell r="J13">
            <v>269166</v>
          </cell>
        </row>
        <row r="14">
          <cell r="J14">
            <v>530410</v>
          </cell>
        </row>
        <row r="15">
          <cell r="J15">
            <v>0</v>
          </cell>
        </row>
        <row r="16">
          <cell r="J16">
            <v>0</v>
          </cell>
        </row>
        <row r="17">
          <cell r="J17">
            <v>0</v>
          </cell>
        </row>
        <row r="18">
          <cell r="J18">
            <v>0</v>
          </cell>
        </row>
        <row r="19">
          <cell r="J19">
            <v>0</v>
          </cell>
        </row>
        <row r="20">
          <cell r="J20">
            <v>0</v>
          </cell>
        </row>
        <row r="21">
          <cell r="J21">
            <v>0</v>
          </cell>
        </row>
        <row r="22">
          <cell r="J22">
            <v>0</v>
          </cell>
        </row>
        <row r="25">
          <cell r="J25">
            <v>38792</v>
          </cell>
        </row>
        <row r="27">
          <cell r="J27">
            <v>28756</v>
          </cell>
        </row>
        <row r="28">
          <cell r="J28">
            <v>22508</v>
          </cell>
        </row>
        <row r="29">
          <cell r="J29">
            <v>0</v>
          </cell>
        </row>
        <row r="30">
          <cell r="J30">
            <v>0</v>
          </cell>
        </row>
        <row r="31">
          <cell r="J31">
            <v>0</v>
          </cell>
        </row>
        <row r="32">
          <cell r="J32">
            <v>0</v>
          </cell>
        </row>
        <row r="33">
          <cell r="J33">
            <v>0</v>
          </cell>
        </row>
        <row r="34">
          <cell r="J34">
            <v>0</v>
          </cell>
        </row>
        <row r="35">
          <cell r="J35">
            <v>0</v>
          </cell>
        </row>
        <row r="36">
          <cell r="J36">
            <v>0</v>
          </cell>
        </row>
        <row r="38">
          <cell r="J38">
            <v>0</v>
          </cell>
        </row>
        <row r="39">
          <cell r="J39">
            <v>0</v>
          </cell>
        </row>
        <row r="40">
          <cell r="J40">
            <v>0</v>
          </cell>
        </row>
        <row r="41">
          <cell r="J41">
            <v>0</v>
          </cell>
        </row>
        <row r="43">
          <cell r="J43">
            <v>456165</v>
          </cell>
        </row>
        <row r="44">
          <cell r="J44">
            <v>34565</v>
          </cell>
        </row>
        <row r="45">
          <cell r="J45">
            <v>0</v>
          </cell>
        </row>
        <row r="46">
          <cell r="J46">
            <v>0</v>
          </cell>
        </row>
        <row r="47">
          <cell r="J47">
            <v>166639</v>
          </cell>
        </row>
      </sheetData>
      <sheetData sheetId="3">
        <row r="30">
          <cell r="F30">
            <v>50278</v>
          </cell>
        </row>
      </sheetData>
      <sheetData sheetId="4">
        <row r="19">
          <cell r="F19">
            <v>0</v>
          </cell>
        </row>
      </sheetData>
      <sheetData sheetId="5">
        <row r="26">
          <cell r="O26">
            <v>0</v>
          </cell>
        </row>
        <row r="48">
          <cell r="O48">
            <v>0</v>
          </cell>
        </row>
      </sheetData>
      <sheetData sheetId="6">
        <row r="6">
          <cell r="F6">
            <v>1670904</v>
          </cell>
        </row>
        <row r="29">
          <cell r="T29">
            <v>44073</v>
          </cell>
        </row>
      </sheetData>
      <sheetData sheetId="7"/>
      <sheetData sheetId="8">
        <row r="6">
          <cell r="N6">
            <v>0</v>
          </cell>
        </row>
        <row r="7">
          <cell r="N7">
            <v>0</v>
          </cell>
        </row>
        <row r="8">
          <cell r="N8">
            <v>0</v>
          </cell>
        </row>
        <row r="9">
          <cell r="N9">
            <v>0</v>
          </cell>
        </row>
        <row r="10">
          <cell r="N10">
            <v>0</v>
          </cell>
        </row>
        <row r="11">
          <cell r="N11">
            <v>0</v>
          </cell>
        </row>
        <row r="12">
          <cell r="N12">
            <v>0</v>
          </cell>
        </row>
        <row r="13">
          <cell r="N13">
            <v>0</v>
          </cell>
        </row>
        <row r="14">
          <cell r="N14">
            <v>0</v>
          </cell>
        </row>
        <row r="15">
          <cell r="N15">
            <v>0</v>
          </cell>
        </row>
        <row r="16">
          <cell r="N16">
            <v>0</v>
          </cell>
        </row>
        <row r="17">
          <cell r="N17">
            <v>0</v>
          </cell>
        </row>
        <row r="18">
          <cell r="N18">
            <v>0</v>
          </cell>
        </row>
        <row r="19">
          <cell r="N19">
            <v>0</v>
          </cell>
        </row>
        <row r="20">
          <cell r="N20">
            <v>0</v>
          </cell>
        </row>
        <row r="21">
          <cell r="N21">
            <v>0</v>
          </cell>
        </row>
        <row r="22">
          <cell r="N22">
            <v>0</v>
          </cell>
        </row>
        <row r="25">
          <cell r="N25">
            <v>0</v>
          </cell>
        </row>
        <row r="28">
          <cell r="N28">
            <v>0</v>
          </cell>
        </row>
        <row r="29">
          <cell r="N29">
            <v>0</v>
          </cell>
        </row>
        <row r="30">
          <cell r="N30">
            <v>0</v>
          </cell>
        </row>
        <row r="31">
          <cell r="N31">
            <v>0</v>
          </cell>
        </row>
        <row r="32">
          <cell r="N32">
            <v>0</v>
          </cell>
        </row>
        <row r="33">
          <cell r="N33">
            <v>0</v>
          </cell>
        </row>
        <row r="34">
          <cell r="N34">
            <v>0</v>
          </cell>
        </row>
        <row r="35">
          <cell r="N35">
            <v>0</v>
          </cell>
        </row>
        <row r="36">
          <cell r="N36">
            <v>0</v>
          </cell>
        </row>
        <row r="37">
          <cell r="N37">
            <v>0</v>
          </cell>
        </row>
        <row r="38">
          <cell r="N38">
            <v>0</v>
          </cell>
        </row>
        <row r="39">
          <cell r="N39">
            <v>0</v>
          </cell>
        </row>
      </sheetData>
      <sheetData sheetId="9"/>
      <sheetData sheetId="10"/>
      <sheetData sheetId="11">
        <row r="17">
          <cell r="K17">
            <v>2315667</v>
          </cell>
        </row>
      </sheetData>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CS%20FINAL%20FILES%20FROM%20ADE/Program_200_Budget_and_Program_200_Actual_column_totals_should_equal_line_27_on_page_2." TargetMode="External"/><Relationship Id="rId1" Type="http://schemas.openxmlformats.org/officeDocument/2006/relationships/hyperlink" Target="CS%20FINAL%20FILES%20FROM%20ADE/Program_200_Budget_and_Program_200_Actual_column_totals_should_equal_line_27_on_page_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CS%20FINAL%20FILES%20FROM%20ADE/BegFundBalance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hyperlink" Target="https://www.azed.gov/titlei/sample-page/rural-low-income-schools-rlis/" TargetMode="External"/><Relationship Id="rId7" Type="http://schemas.openxmlformats.org/officeDocument/2006/relationships/hyperlink" Target="https://www.azed.gov/sites/default/files/2022/09/How%20to%20Complete%20USDA%20Foods%20AFR%20Calculations.pdf" TargetMode="External"/><Relationship Id="rId2" Type="http://schemas.openxmlformats.org/officeDocument/2006/relationships/hyperlink" Target="https://www.azed.gov/21stcclc/federal-and-state-regulations/" TargetMode="External"/><Relationship Id="rId1" Type="http://schemas.openxmlformats.org/officeDocument/2006/relationships/hyperlink" Target="https://www.azed.gov/titleiv-a/" TargetMode="External"/><Relationship Id="rId6" Type="http://schemas.openxmlformats.org/officeDocument/2006/relationships/hyperlink" Target="https://www.azauditor.gov/District_charter_ADE_COVID-19_spending_special_report_FY_2022" TargetMode="External"/><Relationship Id="rId5" Type="http://schemas.openxmlformats.org/officeDocument/2006/relationships/hyperlink" Target="https://www.azed.gov/grants-management/contact/" TargetMode="External"/><Relationship Id="rId4" Type="http://schemas.openxmlformats.org/officeDocument/2006/relationships/hyperlink" Target="https://www.azed.gov/titlei/re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37A-9784-4E92-A38B-92FC1796372E}">
  <sheetPr>
    <pageSetUpPr fitToPage="1"/>
  </sheetPr>
  <dimension ref="A1:AB35"/>
  <sheetViews>
    <sheetView showGridLines="0" workbookViewId="0">
      <selection activeCell="B16" sqref="B16:J16"/>
    </sheetView>
  </sheetViews>
  <sheetFormatPr defaultColWidth="9.33203125" defaultRowHeight="12.75" x14ac:dyDescent="0.2"/>
  <cols>
    <col min="1" max="1" width="22.1640625" customWidth="1"/>
    <col min="2" max="2" width="6.33203125" customWidth="1"/>
    <col min="3" max="3" width="5.33203125" customWidth="1"/>
    <col min="4" max="4" width="9.33203125" customWidth="1"/>
    <col min="5" max="5" width="6.33203125" customWidth="1"/>
    <col min="6" max="6" width="13" customWidth="1"/>
    <col min="7" max="7" width="7.83203125" customWidth="1"/>
    <col min="8" max="8" width="3.33203125" customWidth="1"/>
    <col min="9" max="9" width="13" customWidth="1"/>
    <col min="10" max="12" width="9.33203125" customWidth="1"/>
    <col min="13" max="13" width="11" customWidth="1"/>
    <col min="14" max="14" width="20" customWidth="1"/>
    <col min="15" max="15" width="17.33203125" customWidth="1"/>
    <col min="16" max="16" width="7" customWidth="1"/>
    <col min="17" max="17" width="3.33203125" customWidth="1"/>
    <col min="18" max="18" width="16" customWidth="1"/>
    <col min="19" max="26" width="9.33203125" customWidth="1"/>
    <col min="27" max="27" width="18" customWidth="1"/>
    <col min="28" max="28" width="11.83203125" customWidth="1"/>
    <col min="29" max="29" width="9.33203125" customWidth="1"/>
  </cols>
  <sheetData>
    <row r="1" spans="1:28" ht="12.75" customHeight="1" x14ac:dyDescent="0.25">
      <c r="A1" s="791" t="s">
        <v>0</v>
      </c>
      <c r="B1" s="791"/>
      <c r="C1" s="791"/>
      <c r="D1" s="777" t="s">
        <v>1386</v>
      </c>
      <c r="E1" s="778"/>
      <c r="F1" s="778"/>
      <c r="G1" s="778"/>
      <c r="H1" s="778"/>
      <c r="I1" s="778"/>
      <c r="L1" s="573" t="s">
        <v>1</v>
      </c>
      <c r="M1" s="785" t="s">
        <v>1387</v>
      </c>
      <c r="N1" s="778"/>
      <c r="Q1" s="62" t="s">
        <v>2</v>
      </c>
      <c r="R1" s="544" t="s">
        <v>1388</v>
      </c>
      <c r="AA1" s="549" t="s">
        <v>3</v>
      </c>
      <c r="AB1" s="700">
        <v>45883</v>
      </c>
    </row>
    <row r="2" spans="1:28" ht="12.75" customHeight="1" x14ac:dyDescent="0.2">
      <c r="A2" s="106"/>
      <c r="B2" s="106"/>
      <c r="C2" s="106"/>
      <c r="D2" s="786" t="s">
        <v>4</v>
      </c>
      <c r="E2" s="786"/>
      <c r="F2" s="786"/>
      <c r="G2" s="786"/>
      <c r="H2" s="786"/>
      <c r="I2" s="786"/>
      <c r="L2" s="794" t="str">
        <f>IF('Page 2'!J48=0,"",IF(OR(Alerts!A2&lt;&gt;"",Alerts!A3&lt;&gt;"",Alerts!A4&lt;&gt;"",Alerts!A5&lt;&gt;"",Alerts!A6&lt;&gt;"",Alerts!A7&lt;&gt;"",Alerts!A8&lt;&gt;"",Alerts!A9&lt;&gt;"",Alerts!A10&lt;&gt;"",Alerts!A11&lt;&gt;"",Alerts!A12&lt;&gt;"",Alerts!A13&lt;&gt;"",Alerts!A14&lt;&gt;"",Alerts!A15&lt;&gt;""),"ALERT: The following item(s) need to be addressed before the AFR is submitted. See the Alerts Tab for more detailed information, including guidance on how to resolve the alerts.",""))</f>
        <v/>
      </c>
      <c r="M2" s="796"/>
      <c r="N2" s="796"/>
      <c r="O2" s="796"/>
      <c r="P2" s="796"/>
      <c r="Q2" s="796"/>
      <c r="R2" s="796"/>
    </row>
    <row r="3" spans="1:28" ht="12.75" customHeight="1" x14ac:dyDescent="0.25">
      <c r="A3" s="106"/>
      <c r="B3" s="106"/>
      <c r="C3" s="106"/>
      <c r="D3" s="777" t="s">
        <v>20</v>
      </c>
      <c r="E3" s="778"/>
      <c r="F3" s="778"/>
      <c r="G3" s="778"/>
      <c r="H3" s="778"/>
      <c r="I3" s="778"/>
      <c r="L3" s="796"/>
      <c r="M3" s="796"/>
      <c r="N3" s="796"/>
      <c r="O3" s="796"/>
      <c r="P3" s="796"/>
      <c r="Q3" s="796"/>
      <c r="R3" s="796"/>
    </row>
    <row r="4" spans="1:28" ht="12.75" customHeight="1" x14ac:dyDescent="0.2">
      <c r="A4" s="106"/>
      <c r="B4" s="106"/>
      <c r="C4" s="106"/>
      <c r="D4" s="786" t="s">
        <v>5</v>
      </c>
      <c r="E4" s="786"/>
      <c r="F4" s="786"/>
      <c r="G4" s="786"/>
      <c r="H4" s="786"/>
      <c r="I4" s="786"/>
      <c r="L4" s="794" t="str">
        <f>IF(L2="","",CONCATENATE(Alerts!B3,CHAR(10),Alerts!B4,CHAR(10),Alerts!B5,CHAR(10),Alerts!B6,CHAR(10),Alerts!B7,CHAR(10),Alerts!B8,CHAR(10),Alerts!B9,CHAR(10),Alerts!B10,CHAR(10),Alerts!B11,CHAR(10),Alerts!B12,CHAR(10),Alerts!B13,CHAR(10),Alerts!B14,CHAR(10),Alerts!B15,CHAR(10),Alerts!B16))</f>
        <v/>
      </c>
      <c r="M4" s="795"/>
      <c r="N4" s="795"/>
      <c r="O4" s="795"/>
      <c r="P4" s="795"/>
      <c r="Q4" s="795"/>
      <c r="R4" s="795"/>
    </row>
    <row r="5" spans="1:28" ht="12.75" customHeight="1" x14ac:dyDescent="0.2">
      <c r="A5" s="639" t="s">
        <v>726</v>
      </c>
      <c r="B5" s="106"/>
      <c r="C5" s="106"/>
      <c r="L5" s="795"/>
      <c r="M5" s="795"/>
      <c r="N5" s="795"/>
      <c r="O5" s="795"/>
      <c r="P5" s="795"/>
      <c r="Q5" s="795"/>
      <c r="R5" s="795"/>
    </row>
    <row r="6" spans="1:28" ht="17.45" customHeight="1" x14ac:dyDescent="0.3">
      <c r="A6" s="799" t="s">
        <v>1272</v>
      </c>
      <c r="B6" s="797" t="s">
        <v>1298</v>
      </c>
      <c r="C6" s="797"/>
      <c r="D6" s="797"/>
      <c r="E6" s="797"/>
      <c r="F6" s="797"/>
      <c r="G6" s="797"/>
      <c r="H6" s="797"/>
      <c r="I6" s="797"/>
      <c r="J6" s="82"/>
      <c r="L6" s="795"/>
      <c r="M6" s="795"/>
      <c r="N6" s="795"/>
      <c r="O6" s="795"/>
      <c r="P6" s="795"/>
      <c r="Q6" s="795"/>
      <c r="R6" s="795"/>
    </row>
    <row r="7" spans="1:28" ht="18" customHeight="1" x14ac:dyDescent="0.3">
      <c r="A7" s="799"/>
      <c r="B7" s="797" t="s">
        <v>6</v>
      </c>
      <c r="C7" s="797"/>
      <c r="D7" s="797"/>
      <c r="E7" s="797"/>
      <c r="F7" s="797"/>
      <c r="G7" s="797"/>
      <c r="H7" s="797"/>
      <c r="I7" s="797"/>
      <c r="J7" s="78"/>
      <c r="L7" s="795"/>
      <c r="M7" s="795"/>
      <c r="N7" s="795"/>
      <c r="O7" s="795"/>
      <c r="P7" s="795"/>
      <c r="Q7" s="795"/>
      <c r="R7" s="795"/>
    </row>
    <row r="8" spans="1:28" ht="18" customHeight="1" x14ac:dyDescent="0.25">
      <c r="A8" s="655"/>
      <c r="B8" s="798" t="s">
        <v>7</v>
      </c>
      <c r="C8" s="798"/>
      <c r="D8" s="798"/>
      <c r="E8" s="798"/>
      <c r="F8" s="798"/>
      <c r="G8" s="798"/>
      <c r="H8" s="798"/>
      <c r="I8" s="798"/>
      <c r="J8" s="82"/>
      <c r="L8" s="795"/>
      <c r="M8" s="795"/>
      <c r="N8" s="795"/>
      <c r="O8" s="795"/>
      <c r="P8" s="795"/>
      <c r="Q8" s="795"/>
      <c r="R8" s="795"/>
    </row>
    <row r="9" spans="1:28" ht="12.75" customHeight="1" x14ac:dyDescent="0.2">
      <c r="C9" s="107"/>
      <c r="D9" s="107"/>
      <c r="E9" s="107"/>
      <c r="F9" s="107"/>
      <c r="G9" s="107"/>
      <c r="H9" s="107"/>
      <c r="I9" s="107"/>
      <c r="J9" s="108"/>
      <c r="L9" s="795"/>
      <c r="M9" s="795"/>
      <c r="N9" s="795"/>
      <c r="O9" s="795"/>
      <c r="P9" s="794"/>
      <c r="Q9" s="795"/>
      <c r="R9" s="795"/>
    </row>
    <row r="10" spans="1:28" ht="26.25" customHeight="1" x14ac:dyDescent="0.25">
      <c r="A10" s="26"/>
      <c r="B10" s="792" t="str">
        <f>IF('Page 2'!N9="","","Checking the box to the left certifies the Charter did not incur any expenses for student support services, as defined in the USFRCS and reported on Page 2, Line 2, during the fiscal year.")</f>
        <v/>
      </c>
      <c r="C10" s="792"/>
      <c r="D10" s="792"/>
      <c r="E10" s="792"/>
      <c r="F10" s="792"/>
      <c r="G10" s="792"/>
      <c r="H10" s="792"/>
      <c r="I10" s="792"/>
      <c r="J10" s="793"/>
      <c r="L10" s="795"/>
      <c r="M10" s="795"/>
      <c r="N10" s="795"/>
      <c r="O10" s="795"/>
      <c r="P10" s="795"/>
      <c r="Q10" s="795"/>
      <c r="R10" s="795"/>
    </row>
    <row r="11" spans="1:28" x14ac:dyDescent="0.2">
      <c r="A11" s="800" t="s">
        <v>1286</v>
      </c>
      <c r="B11" s="800"/>
      <c r="C11" s="800"/>
      <c r="D11" s="801" t="s">
        <v>1531</v>
      </c>
      <c r="E11" s="801"/>
      <c r="F11" s="801"/>
      <c r="G11" s="801"/>
      <c r="H11" s="801"/>
      <c r="I11" s="801"/>
      <c r="J11" s="802"/>
      <c r="L11" s="795"/>
      <c r="M11" s="795"/>
      <c r="N11" s="795"/>
      <c r="O11" s="795"/>
      <c r="P11" s="795"/>
      <c r="Q11" s="795"/>
      <c r="R11" s="795"/>
    </row>
    <row r="12" spans="1:28" ht="25.5" customHeight="1" x14ac:dyDescent="0.25">
      <c r="A12" s="26"/>
      <c r="B12" s="792" t="str">
        <f>IF('Page 2'!N10="","","Checking the box to the left certifies the Charter did not incur any expenses for instructional support services, as defined in the USFRCS and reported on Page 2, Line 3, during the fiscal year.")</f>
        <v/>
      </c>
      <c r="C12" s="792"/>
      <c r="D12" s="792"/>
      <c r="E12" s="792"/>
      <c r="F12" s="792"/>
      <c r="G12" s="792"/>
      <c r="H12" s="792"/>
      <c r="I12" s="792"/>
      <c r="J12" s="793"/>
      <c r="K12" s="66"/>
      <c r="L12" s="795"/>
      <c r="M12" s="795"/>
      <c r="N12" s="795"/>
      <c r="O12" s="795"/>
      <c r="P12" s="795"/>
      <c r="Q12" s="795"/>
      <c r="R12" s="795"/>
    </row>
    <row r="13" spans="1:28" x14ac:dyDescent="0.2">
      <c r="A13" s="109"/>
      <c r="C13" s="107"/>
      <c r="D13" s="107"/>
      <c r="E13" s="107"/>
      <c r="F13" s="107"/>
      <c r="G13" s="107"/>
      <c r="H13" s="107"/>
      <c r="I13" s="107"/>
      <c r="J13" s="108"/>
      <c r="L13" s="795"/>
      <c r="M13" s="795"/>
      <c r="N13" s="795"/>
      <c r="O13" s="795"/>
      <c r="P13" s="795"/>
      <c r="Q13" s="795"/>
      <c r="R13" s="795"/>
    </row>
    <row r="14" spans="1:28" ht="25.5" customHeight="1" x14ac:dyDescent="0.25">
      <c r="A14" s="26"/>
      <c r="B14" s="789" t="str">
        <f>IF('Page 3'!M12="","","Checking the box to the left certifies the Charter did not incur any expenses for Classroom Site Project, as reported on Page 3, during the fiscal year.")</f>
        <v/>
      </c>
      <c r="C14" s="789"/>
      <c r="D14" s="789"/>
      <c r="E14" s="789"/>
      <c r="F14" s="789"/>
      <c r="G14" s="789"/>
      <c r="H14" s="789"/>
      <c r="I14" s="789"/>
      <c r="J14" s="790"/>
      <c r="L14" s="795"/>
      <c r="M14" s="795"/>
      <c r="N14" s="795"/>
      <c r="O14" s="795"/>
      <c r="P14" s="795"/>
      <c r="Q14" s="795"/>
      <c r="R14" s="795"/>
    </row>
    <row r="15" spans="1:28" x14ac:dyDescent="0.2">
      <c r="A15" s="109"/>
      <c r="C15" s="107"/>
      <c r="D15" s="107"/>
      <c r="E15" s="107"/>
      <c r="F15" s="107"/>
      <c r="G15" s="107"/>
      <c r="H15" s="107"/>
      <c r="I15" s="107"/>
      <c r="J15" s="108"/>
      <c r="L15" s="795"/>
      <c r="M15" s="795"/>
      <c r="N15" s="795"/>
      <c r="O15" s="795"/>
      <c r="P15" s="795"/>
      <c r="Q15" s="795"/>
      <c r="R15" s="795"/>
    </row>
    <row r="16" spans="1:28" ht="39.75" customHeight="1" x14ac:dyDescent="0.25">
      <c r="A16" s="26"/>
      <c r="B16" s="792" t="str">
        <f>IF('Page 6'!H33="","","Checking the box to the left certifies the Charter did not incur any current expenses for student support services, as defined in the USFRCS and reported on Page 6-Section E-Line 4, during the fiscal year.")</f>
        <v/>
      </c>
      <c r="C16" s="792"/>
      <c r="D16" s="792"/>
      <c r="E16" s="792"/>
      <c r="F16" s="792"/>
      <c r="G16" s="792"/>
      <c r="H16" s="792"/>
      <c r="I16" s="792"/>
      <c r="J16" s="793"/>
      <c r="L16" s="795"/>
      <c r="M16" s="795"/>
      <c r="N16" s="795"/>
      <c r="O16" s="795"/>
      <c r="P16" s="795"/>
      <c r="Q16" s="795"/>
      <c r="R16" s="795"/>
    </row>
    <row r="17" spans="1:26" x14ac:dyDescent="0.2">
      <c r="A17" s="109"/>
      <c r="C17" s="107"/>
      <c r="D17" s="107"/>
      <c r="E17" s="107"/>
      <c r="F17" s="107"/>
      <c r="G17" s="107"/>
      <c r="H17" s="107"/>
      <c r="I17" s="107"/>
      <c r="J17" s="108"/>
      <c r="L17" s="795"/>
      <c r="M17" s="795"/>
      <c r="N17" s="795"/>
      <c r="O17" s="795"/>
      <c r="P17" s="795"/>
      <c r="Q17" s="795"/>
      <c r="R17" s="795"/>
    </row>
    <row r="18" spans="1:26" ht="48" customHeight="1" x14ac:dyDescent="0.25">
      <c r="A18" s="26"/>
      <c r="B18" s="792" t="str">
        <f>IF('Page 4'!K10="","","Checking the box to the left certifies the Charter did not incur any expenses for Instructional Improvement Project, as defined in the USFRCS and reported on Page 4, Line 5, during the fiscal year.")</f>
        <v/>
      </c>
      <c r="C18" s="792"/>
      <c r="D18" s="792"/>
      <c r="E18" s="792"/>
      <c r="F18" s="792"/>
      <c r="G18" s="792"/>
      <c r="H18" s="792"/>
      <c r="I18" s="792"/>
      <c r="J18" s="793"/>
      <c r="L18" s="795"/>
      <c r="M18" s="795"/>
      <c r="N18" s="795"/>
      <c r="O18" s="795"/>
      <c r="P18" s="795"/>
      <c r="Q18" s="795"/>
      <c r="R18" s="795"/>
      <c r="S18" s="4"/>
      <c r="T18" s="4"/>
    </row>
    <row r="19" spans="1:26" ht="12.75" customHeight="1" x14ac:dyDescent="0.2">
      <c r="B19" s="787" t="s">
        <v>1299</v>
      </c>
      <c r="C19" s="787"/>
      <c r="D19" s="787"/>
      <c r="E19" s="787"/>
      <c r="F19" s="787"/>
      <c r="G19" s="787"/>
      <c r="H19" s="787"/>
      <c r="I19" s="787"/>
      <c r="J19" s="82"/>
      <c r="L19" s="781" t="s">
        <v>1300</v>
      </c>
      <c r="M19" s="781"/>
      <c r="N19" s="781"/>
      <c r="O19" s="781"/>
      <c r="P19" s="781"/>
      <c r="Q19" s="781"/>
      <c r="R19" s="781"/>
      <c r="S19" s="4"/>
      <c r="T19" s="4"/>
    </row>
    <row r="20" spans="1:26" ht="25.5" customHeight="1" thickBot="1" x14ac:dyDescent="0.3">
      <c r="B20" s="787"/>
      <c r="C20" s="787"/>
      <c r="D20" s="787"/>
      <c r="E20" s="787"/>
      <c r="F20" s="787"/>
      <c r="G20" s="787"/>
      <c r="H20" s="787"/>
      <c r="I20" s="787"/>
      <c r="J20" s="82"/>
      <c r="L20" t="s">
        <v>8</v>
      </c>
      <c r="N20" s="772">
        <v>45944</v>
      </c>
      <c r="O20" s="783" t="s">
        <v>9</v>
      </c>
      <c r="P20" s="783"/>
      <c r="Q20" s="783"/>
      <c r="R20" s="783"/>
      <c r="T20" s="774" t="str">
        <f>IF(Z20="X","","Charters schools must review the FY 2025 AFR Formula Corrections file and make any required formula corrections before finalizing and submitting the AFR. Select the X in the dropdown box in cell Z20 once this step is complete.")</f>
        <v/>
      </c>
      <c r="U20" s="774"/>
      <c r="V20" s="774"/>
      <c r="W20" s="774"/>
      <c r="X20" s="774"/>
      <c r="Z20" s="692" t="s">
        <v>1530</v>
      </c>
    </row>
    <row r="21" spans="1:26" ht="12.75" customHeight="1" x14ac:dyDescent="0.2">
      <c r="A21" s="782"/>
      <c r="B21" s="782"/>
      <c r="C21" s="782"/>
      <c r="D21" s="782"/>
      <c r="E21" s="782"/>
      <c r="F21" s="4"/>
      <c r="G21" s="788"/>
      <c r="H21" s="788"/>
      <c r="I21" s="788"/>
      <c r="J21" s="82"/>
      <c r="L21" s="782" t="s">
        <v>10</v>
      </c>
      <c r="M21" s="782"/>
      <c r="N21" s="782"/>
      <c r="O21" s="110"/>
      <c r="P21" s="110"/>
      <c r="Q21" s="110"/>
      <c r="R21" s="110"/>
      <c r="T21" s="774"/>
      <c r="U21" s="774"/>
      <c r="V21" s="774"/>
      <c r="W21" s="774"/>
      <c r="X21" s="774"/>
    </row>
    <row r="22" spans="1:26" ht="13.5" customHeight="1" x14ac:dyDescent="0.25">
      <c r="A22" s="775"/>
      <c r="B22" s="775"/>
      <c r="C22" s="775"/>
      <c r="D22" s="775"/>
      <c r="E22" s="775"/>
      <c r="F22" s="4"/>
      <c r="G22" s="785" t="s">
        <v>1389</v>
      </c>
      <c r="H22" s="778"/>
      <c r="I22" s="778"/>
      <c r="J22" s="82"/>
      <c r="M22" s="110"/>
      <c r="N22" s="110"/>
      <c r="O22" s="110"/>
      <c r="P22" s="110"/>
      <c r="Q22" s="110"/>
      <c r="R22" s="110"/>
      <c r="T22" s="774"/>
      <c r="U22" s="774"/>
      <c r="V22" s="774"/>
      <c r="W22" s="774"/>
      <c r="X22" s="774"/>
    </row>
    <row r="23" spans="1:26" ht="12.75" customHeight="1" x14ac:dyDescent="0.25">
      <c r="H23" s="4"/>
      <c r="I23" s="4"/>
      <c r="J23" s="78"/>
      <c r="L23" s="775"/>
      <c r="M23" s="775"/>
      <c r="N23" s="775"/>
      <c r="P23" s="777" t="s">
        <v>1391</v>
      </c>
      <c r="Q23" s="778"/>
      <c r="R23" s="778"/>
      <c r="T23" s="774"/>
      <c r="U23" s="774"/>
      <c r="V23" s="774"/>
      <c r="W23" s="774"/>
      <c r="X23" s="774"/>
    </row>
    <row r="24" spans="1:26" ht="14.25" customHeight="1" x14ac:dyDescent="0.25">
      <c r="A24" s="775"/>
      <c r="B24" s="775"/>
      <c r="C24" s="775"/>
      <c r="D24" s="775"/>
      <c r="E24" s="775"/>
      <c r="F24" s="4"/>
      <c r="G24" s="785" t="s">
        <v>1390</v>
      </c>
      <c r="H24" s="778"/>
      <c r="I24" s="778"/>
      <c r="J24" s="78"/>
      <c r="L24" s="776" t="s">
        <v>11</v>
      </c>
      <c r="M24" s="776"/>
      <c r="N24" s="776"/>
      <c r="P24" s="776" t="s">
        <v>12</v>
      </c>
      <c r="Q24" s="776"/>
      <c r="R24" s="776"/>
    </row>
    <row r="25" spans="1:26" ht="12.75" customHeight="1" x14ac:dyDescent="0.25">
      <c r="J25" s="78"/>
      <c r="L25" s="777" t="s">
        <v>1392</v>
      </c>
      <c r="M25" s="784"/>
      <c r="N25" s="784"/>
    </row>
    <row r="26" spans="1:26" ht="14.25" customHeight="1" x14ac:dyDescent="0.25">
      <c r="A26" s="775"/>
      <c r="B26" s="775"/>
      <c r="C26" s="775"/>
      <c r="D26" s="775"/>
      <c r="E26" s="775"/>
      <c r="F26" s="4"/>
      <c r="G26" s="785" t="s">
        <v>1390</v>
      </c>
      <c r="H26" s="778"/>
      <c r="I26" s="778"/>
      <c r="J26" s="78"/>
      <c r="L26" s="776" t="s">
        <v>13</v>
      </c>
      <c r="M26" s="776"/>
      <c r="N26" s="776"/>
    </row>
    <row r="27" spans="1:26" ht="12.75" customHeight="1" x14ac:dyDescent="0.2">
      <c r="J27" s="78"/>
      <c r="L27" s="782"/>
      <c r="M27" s="782"/>
      <c r="N27" s="782"/>
      <c r="O27" s="111"/>
      <c r="P27" s="779"/>
      <c r="Q27" s="779"/>
      <c r="R27" s="779"/>
    </row>
    <row r="28" spans="1:26" ht="12.75" customHeight="1" x14ac:dyDescent="0.25">
      <c r="A28" s="775"/>
      <c r="B28" s="775"/>
      <c r="C28" s="775"/>
      <c r="D28" s="775"/>
      <c r="E28" s="775"/>
      <c r="F28" s="4"/>
      <c r="G28" s="785" t="s">
        <v>20</v>
      </c>
      <c r="H28" s="778"/>
      <c r="I28" s="778"/>
      <c r="J28" s="78"/>
      <c r="L28" s="775"/>
      <c r="M28" s="775"/>
      <c r="N28" s="775"/>
      <c r="P28" s="777" t="s">
        <v>1394</v>
      </c>
      <c r="Q28" s="778"/>
      <c r="R28" s="778"/>
    </row>
    <row r="29" spans="1:26" ht="14.25" customHeight="1" x14ac:dyDescent="0.2">
      <c r="D29" s="4"/>
      <c r="E29" s="4"/>
      <c r="F29" s="4"/>
      <c r="G29" s="4"/>
      <c r="J29" s="78"/>
      <c r="L29" s="776" t="s">
        <v>11</v>
      </c>
      <c r="M29" s="776"/>
      <c r="N29" s="776"/>
      <c r="P29" s="776" t="s">
        <v>12</v>
      </c>
      <c r="Q29" s="776"/>
      <c r="R29" s="776"/>
    </row>
    <row r="30" spans="1:26" ht="12.75" customHeight="1" x14ac:dyDescent="0.25">
      <c r="A30" s="775"/>
      <c r="B30" s="775"/>
      <c r="C30" s="775"/>
      <c r="D30" s="775"/>
      <c r="E30" s="775"/>
      <c r="F30" s="4"/>
      <c r="G30" s="785" t="s">
        <v>20</v>
      </c>
      <c r="H30" s="778"/>
      <c r="I30" s="778"/>
      <c r="K30" s="89"/>
      <c r="L30" s="777" t="s">
        <v>1393</v>
      </c>
      <c r="M30" s="784"/>
      <c r="N30" s="784"/>
    </row>
    <row r="31" spans="1:26" ht="30.75" customHeight="1" x14ac:dyDescent="0.25">
      <c r="A31" s="775"/>
      <c r="B31" s="775"/>
      <c r="C31" s="775"/>
      <c r="D31" s="775"/>
      <c r="E31" s="775"/>
      <c r="F31" s="4"/>
      <c r="G31" s="785" t="s">
        <v>20</v>
      </c>
      <c r="H31" s="778"/>
      <c r="I31" s="778"/>
      <c r="J31" s="78"/>
      <c r="K31" s="89"/>
      <c r="L31" s="776" t="s">
        <v>13</v>
      </c>
      <c r="M31" s="776"/>
      <c r="N31" s="776"/>
    </row>
    <row r="32" spans="1:26" ht="12.75" customHeight="1" x14ac:dyDescent="0.2">
      <c r="J32" s="78"/>
      <c r="K32" s="71"/>
      <c r="L32" s="72" t="s">
        <v>14</v>
      </c>
      <c r="M32" s="72"/>
      <c r="N32" s="72"/>
      <c r="O32" s="72"/>
      <c r="P32" s="72"/>
      <c r="Q32" s="72"/>
      <c r="R32" s="72"/>
    </row>
    <row r="33" spans="1:18" ht="12.75" customHeight="1" x14ac:dyDescent="0.25">
      <c r="A33" s="775"/>
      <c r="B33" s="775"/>
      <c r="C33" s="775"/>
      <c r="D33" s="775"/>
      <c r="E33" s="775"/>
      <c r="F33" s="4"/>
      <c r="G33" s="777" t="s">
        <v>20</v>
      </c>
      <c r="H33" s="778"/>
      <c r="I33" s="778"/>
      <c r="J33" s="78"/>
      <c r="L33" t="s">
        <v>15</v>
      </c>
      <c r="P33" s="7" t="s">
        <v>16</v>
      </c>
      <c r="Q33" s="780">
        <f>TotExpSchoolwide</f>
        <v>3865833</v>
      </c>
      <c r="R33" s="780"/>
    </row>
    <row r="34" spans="1:18" ht="12.75" customHeight="1" x14ac:dyDescent="0.2">
      <c r="A34" s="786" t="s">
        <v>17</v>
      </c>
      <c r="B34" s="786"/>
      <c r="C34" s="786"/>
      <c r="D34" s="786"/>
      <c r="E34" s="786"/>
      <c r="F34" s="4"/>
      <c r="G34" s="786" t="s">
        <v>18</v>
      </c>
      <c r="H34" s="786"/>
      <c r="I34" s="786"/>
      <c r="J34" s="78"/>
      <c r="L34" t="s">
        <v>19</v>
      </c>
      <c r="P34" s="7" t="s">
        <v>16</v>
      </c>
      <c r="Q34" s="780">
        <f>SP1000ClassSiteProj</f>
        <v>490534</v>
      </c>
      <c r="R34" s="780"/>
    </row>
    <row r="35" spans="1:18" ht="12.75" customHeight="1" x14ac:dyDescent="0.2">
      <c r="J35" s="78"/>
    </row>
  </sheetData>
  <sheetProtection sheet="1" formatCells="0" formatColumns="0" formatRows="0"/>
  <mergeCells count="58">
    <mergeCell ref="A24:E24"/>
    <mergeCell ref="A28:E28"/>
    <mergeCell ref="A30:E30"/>
    <mergeCell ref="A31:E31"/>
    <mergeCell ref="A34:E34"/>
    <mergeCell ref="A33:E33"/>
    <mergeCell ref="G34:I34"/>
    <mergeCell ref="G24:I24"/>
    <mergeCell ref="G26:I26"/>
    <mergeCell ref="G28:I28"/>
    <mergeCell ref="G30:I30"/>
    <mergeCell ref="G31:I31"/>
    <mergeCell ref="G33:I33"/>
    <mergeCell ref="L4:R18"/>
    <mergeCell ref="L2:R3"/>
    <mergeCell ref="B6:I6"/>
    <mergeCell ref="B8:I8"/>
    <mergeCell ref="A21:E21"/>
    <mergeCell ref="B7:I7"/>
    <mergeCell ref="B10:J10"/>
    <mergeCell ref="B16:J16"/>
    <mergeCell ref="A6:A7"/>
    <mergeCell ref="A11:C11"/>
    <mergeCell ref="D11:J11"/>
    <mergeCell ref="M1:N1"/>
    <mergeCell ref="D2:I2"/>
    <mergeCell ref="D3:I3"/>
    <mergeCell ref="D4:I4"/>
    <mergeCell ref="L27:N27"/>
    <mergeCell ref="B19:I20"/>
    <mergeCell ref="A26:E26"/>
    <mergeCell ref="L24:N24"/>
    <mergeCell ref="G21:I21"/>
    <mergeCell ref="B14:J14"/>
    <mergeCell ref="A22:E22"/>
    <mergeCell ref="G22:I22"/>
    <mergeCell ref="A1:C1"/>
    <mergeCell ref="D1:I1"/>
    <mergeCell ref="B12:J12"/>
    <mergeCell ref="B18:J18"/>
    <mergeCell ref="Q34:R34"/>
    <mergeCell ref="L31:N31"/>
    <mergeCell ref="L19:R19"/>
    <mergeCell ref="L21:N21"/>
    <mergeCell ref="O20:R20"/>
    <mergeCell ref="Q33:R33"/>
    <mergeCell ref="P29:R29"/>
    <mergeCell ref="P28:R28"/>
    <mergeCell ref="L25:N25"/>
    <mergeCell ref="L30:N30"/>
    <mergeCell ref="T20:X23"/>
    <mergeCell ref="L28:N28"/>
    <mergeCell ref="L29:N29"/>
    <mergeCell ref="L26:N26"/>
    <mergeCell ref="P23:R23"/>
    <mergeCell ref="P24:R24"/>
    <mergeCell ref="P27:R27"/>
    <mergeCell ref="L23:N23"/>
  </mergeCells>
  <conditionalFormatting sqref="A16:B16">
    <cfRule type="expression" priority="23" stopIfTrue="1">
      <formula>$A$16="X"</formula>
    </cfRule>
  </conditionalFormatting>
  <conditionalFormatting sqref="B10">
    <cfRule type="expression" dxfId="84" priority="28" stopIfTrue="1">
      <formula>$A$10="X"</formula>
    </cfRule>
  </conditionalFormatting>
  <conditionalFormatting sqref="B12 B14">
    <cfRule type="expression" priority="26" stopIfTrue="1">
      <formula>$A$14="X"</formula>
    </cfRule>
  </conditionalFormatting>
  <conditionalFormatting sqref="B12 D11">
    <cfRule type="expression" priority="27" stopIfTrue="1">
      <formula>$A$12="X"</formula>
    </cfRule>
  </conditionalFormatting>
  <conditionalFormatting sqref="D1 M1 R1">
    <cfRule type="expression" dxfId="83" priority="6" stopIfTrue="1">
      <formula>D1=""</formula>
    </cfRule>
  </conditionalFormatting>
  <conditionalFormatting sqref="D3:I3">
    <cfRule type="expression" dxfId="82" priority="4" stopIfTrue="1">
      <formula>$D$3=""</formula>
    </cfRule>
  </conditionalFormatting>
  <conditionalFormatting sqref="G22 G24 G26 G28 G30:G31 G33">
    <cfRule type="expression" dxfId="81" priority="5" stopIfTrue="1">
      <formula>$G22=""</formula>
    </cfRule>
  </conditionalFormatting>
  <conditionalFormatting sqref="L2:R3">
    <cfRule type="expression" dxfId="80" priority="15" stopIfTrue="1">
      <formula>$L$4&lt;&gt;""</formula>
    </cfRule>
  </conditionalFormatting>
  <conditionalFormatting sqref="N20 P23 L25 P28 L30">
    <cfRule type="expression" dxfId="79" priority="3" stopIfTrue="1">
      <formula>L20=""</formula>
    </cfRule>
  </conditionalFormatting>
  <conditionalFormatting sqref="T20">
    <cfRule type="expression" dxfId="78" priority="1" stopIfTrue="1">
      <formula>$Z$20="X"</formula>
    </cfRule>
  </conditionalFormatting>
  <dataValidations xWindow="701" yWindow="156" count="3">
    <dataValidation type="textLength" operator="equal" showInputMessage="1" showErrorMessage="1" prompt="This cell will only accept entries equal to 9 digits.  Charter schools must enter their CTD number plus 3 zeros." sqref="R1" xr:uid="{00000000-0002-0000-0100-000000000000}">
      <formula1>9</formula1>
    </dataValidation>
    <dataValidation type="date" operator="greaterThanOrEqual" allowBlank="1" showInputMessage="1" showErrorMessage="1" errorTitle="Date" error="Enter Valid Date_x000a_MM/DD/YYYY" promptTitle="Enter Date as" prompt="MM/DD/YYYY" sqref="N20" xr:uid="{00000000-0002-0000-0100-000001000000}">
      <formula1>42962</formula1>
    </dataValidation>
    <dataValidation type="list" allowBlank="1" showInputMessage="1" showErrorMessage="1" sqref="A14 A16 A12 A10 A18 Z20" xr:uid="{00000000-0002-0000-0100-000002000000}">
      <formula1>"X"</formula1>
    </dataValidation>
  </dataValidations>
  <hyperlinks>
    <hyperlink ref="A5" location="Instructions!A1" display="Instructions" xr:uid="{2B861A0A-DFC1-49B7-96B3-7836031BE8DE}"/>
    <hyperlink ref="A6:A7" location="Instructions!C4" display="Complete the Cover, School listing, and Accounting data tabs first. See instructions." xr:uid="{C77033CF-216B-4EE9-AB21-BE48DA9EFF98}"/>
    <hyperlink ref="A11:C11" location="websitelink" display="Charter website link of posted AFR" xr:uid="{D5CF705E-272C-4A1F-87E7-D9E01DFAACEB}"/>
  </hyperlinks>
  <pageMargins left="0.7" right="0.7" top="0.75" bottom="0.75" header="0.3" footer="0.3"/>
  <pageSetup paperSize="5" scale="83" orientation="landscape" verticalDpi="598" r:id="rId1"/>
  <headerFooter>
    <oddFooter>&amp;LRev. 8/25 Arizona Department of Education and Auditor General&amp;CFY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C66D-3F01-418F-9848-776D9E4BD0C0}">
  <sheetPr>
    <pageSetUpPr fitToPage="1"/>
  </sheetPr>
  <dimension ref="A1:AA43"/>
  <sheetViews>
    <sheetView showGridLines="0" topLeftCell="A24" zoomScaleNormal="100" workbookViewId="0">
      <selection activeCell="K37" sqref="K37"/>
    </sheetView>
  </sheetViews>
  <sheetFormatPr defaultColWidth="9.33203125" defaultRowHeight="12.75" x14ac:dyDescent="0.2"/>
  <cols>
    <col min="1" max="1" width="3.33203125" customWidth="1"/>
    <col min="2" max="2" width="17.83203125" customWidth="1"/>
    <col min="3" max="3" width="33.33203125" customWidth="1"/>
    <col min="4" max="4" width="13.83203125" customWidth="1"/>
    <col min="5" max="5" width="5" customWidth="1"/>
    <col min="6" max="6" width="14" customWidth="1"/>
    <col min="7" max="7" width="7.33203125" customWidth="1"/>
    <col min="8" max="8" width="13.83203125" customWidth="1"/>
    <col min="9" max="11" width="9.33203125" customWidth="1"/>
    <col min="12" max="12" width="10.33203125" customWidth="1"/>
    <col min="13" max="13" width="11.33203125" customWidth="1"/>
    <col min="14" max="17" width="9.33203125" customWidth="1"/>
    <col min="18" max="26" width="9.33203125" hidden="1" customWidth="1"/>
    <col min="27" max="27" width="9.33203125" customWidth="1"/>
  </cols>
  <sheetData>
    <row r="1" spans="1:14" x14ac:dyDescent="0.2">
      <c r="A1" s="791" t="s">
        <v>0</v>
      </c>
      <c r="B1" s="791"/>
      <c r="C1" s="1" t="str">
        <f>'Cover Page'!D1</f>
        <v>Pima Rose Academy, Inc.</v>
      </c>
      <c r="G1" s="62" t="s">
        <v>1</v>
      </c>
      <c r="H1" s="808" t="str">
        <f>'Cover Page'!M1</f>
        <v>Pima</v>
      </c>
      <c r="I1" s="808"/>
      <c r="L1" s="62" t="s">
        <v>2</v>
      </c>
      <c r="M1" s="807" t="str">
        <f>'Cover Page'!R1</f>
        <v>108602000</v>
      </c>
      <c r="N1" s="808"/>
    </row>
    <row r="2" spans="1:14" x14ac:dyDescent="0.2">
      <c r="F2" s="4"/>
      <c r="G2" s="4"/>
      <c r="H2" t="s">
        <v>20</v>
      </c>
    </row>
    <row r="3" spans="1:14" x14ac:dyDescent="0.2">
      <c r="A3" s="549" t="s">
        <v>21</v>
      </c>
      <c r="B3" s="549"/>
      <c r="D3" s="811" t="s">
        <v>726</v>
      </c>
      <c r="E3" s="811"/>
      <c r="F3" s="811"/>
    </row>
    <row r="4" spans="1:14" x14ac:dyDescent="0.2">
      <c r="A4" s="549" t="s">
        <v>22</v>
      </c>
      <c r="H4" s="63" t="s">
        <v>23</v>
      </c>
      <c r="J4" s="64"/>
      <c r="K4" s="64"/>
      <c r="L4" s="64"/>
    </row>
    <row r="5" spans="1:14" x14ac:dyDescent="0.2">
      <c r="A5" s="7" t="s">
        <v>24</v>
      </c>
      <c r="B5" s="803" t="s">
        <v>25</v>
      </c>
      <c r="C5" s="803"/>
      <c r="D5" s="803"/>
      <c r="H5" s="552">
        <f>-(SUMIFS('Accounting data'!$G$2:$G$37000,'Accounting data'!$K$2:$K$37000,"1310*"))+SUMIFS('Accounting data'!$G$2:$G$37000,'Accounting data'!$H$2:$H$37000,"9999*",'Accounting data'!$K$2:$K$37000,"1310*")</f>
        <v>0</v>
      </c>
      <c r="I5" s="567" t="s">
        <v>24</v>
      </c>
      <c r="J5" s="64"/>
      <c r="K5" s="64"/>
      <c r="L5" s="64"/>
    </row>
    <row r="6" spans="1:14" x14ac:dyDescent="0.2">
      <c r="A6" s="7" t="s">
        <v>26</v>
      </c>
      <c r="B6" s="803" t="s">
        <v>27</v>
      </c>
      <c r="C6" s="803"/>
      <c r="D6" s="803"/>
      <c r="H6" s="552">
        <f>-(SUMIFS('Accounting data'!$G$2:$G$37000,'Accounting data'!$K$2:$K$37000,"1320*"))+SUMIFS('Accounting data'!$G$2:$G$37000,'Accounting data'!$H$2:$H$37000,"9999*",'Accounting data'!$K$2:$K$37000,"1320*")</f>
        <v>0</v>
      </c>
      <c r="I6" s="567" t="s">
        <v>26</v>
      </c>
      <c r="J6" s="64"/>
      <c r="K6" s="64"/>
      <c r="L6" s="64"/>
    </row>
    <row r="7" spans="1:14" ht="12.75" customHeight="1" x14ac:dyDescent="0.2">
      <c r="A7" s="7" t="s">
        <v>28</v>
      </c>
      <c r="B7" s="782" t="s">
        <v>29</v>
      </c>
      <c r="C7" s="782"/>
      <c r="D7" s="782"/>
      <c r="H7" s="552">
        <f>-(SUMIFS('Accounting data'!$G$2:$G$37000,'Accounting data'!$K$2:$K$37000,"1410*"))+SUMIFS('Accounting data'!$G$2:$G$37000,'Accounting data'!$H$2:$H$37000,"9999*",'Accounting data'!$K$2:$K$37000,"1410*")</f>
        <v>0</v>
      </c>
      <c r="I7" s="567" t="s">
        <v>28</v>
      </c>
      <c r="J7" s="809" t="s">
        <v>30</v>
      </c>
      <c r="K7" s="809"/>
      <c r="L7" s="64"/>
    </row>
    <row r="8" spans="1:14" x14ac:dyDescent="0.2">
      <c r="A8" s="7" t="s">
        <v>31</v>
      </c>
      <c r="B8" s="782" t="s">
        <v>32</v>
      </c>
      <c r="C8" s="782"/>
      <c r="D8" s="782"/>
      <c r="H8" s="552">
        <f>-(SUMIFS('Accounting data'!$G$2:$G$37000,'Accounting data'!$K$2:$K$37000,"1420*"))+SUMIFS('Accounting data'!$G$2:$G$37000,'Accounting data'!$H$2:$H$37000,"9999*",'Accounting data'!$K$2:$K$37000,"1420*")</f>
        <v>0</v>
      </c>
      <c r="I8" s="567" t="s">
        <v>31</v>
      </c>
      <c r="J8" s="809"/>
      <c r="K8" s="809"/>
      <c r="L8" s="64"/>
    </row>
    <row r="9" spans="1:14" x14ac:dyDescent="0.2">
      <c r="A9" s="7" t="s">
        <v>33</v>
      </c>
      <c r="B9" s="782" t="s">
        <v>34</v>
      </c>
      <c r="C9" s="782"/>
      <c r="H9" s="552">
        <f>-(SUMIFS('Accounting data'!$G$2:$G$37000,'Accounting data'!$K$2:$K$37000,"1500*"))+SUMIFS('Accounting data'!$G$2:$G$37000,'Accounting data'!$H$2:$H$37000,"9999*",'Accounting data'!$K$2:$K$37000,"1500*")</f>
        <v>0</v>
      </c>
      <c r="I9" s="567" t="s">
        <v>33</v>
      </c>
      <c r="J9" s="809"/>
      <c r="K9" s="809"/>
      <c r="L9" s="64"/>
    </row>
    <row r="10" spans="1:14" x14ac:dyDescent="0.2">
      <c r="A10" s="667" t="s">
        <v>35</v>
      </c>
      <c r="B10" s="781" t="s">
        <v>1301</v>
      </c>
      <c r="C10" s="781"/>
      <c r="H10" s="552">
        <f>IF('Food Service'!$E$7="",J10,'Food Service'!$E$7)</f>
        <v>0</v>
      </c>
      <c r="I10" s="567" t="s">
        <v>35</v>
      </c>
      <c r="J10" s="810">
        <f>-(SUMIFS('Accounting data'!$G$2:$G$37000,'Accounting data'!$K$2:$K$37000,"1600*"))+SUMIFS('Accounting data'!$G$2:$G$37000,'Accounting data'!$H$2:$H$37000,"9999*",'Accounting data'!$K$2:$K$37000,"1600*")</f>
        <v>0</v>
      </c>
      <c r="K10" s="810"/>
      <c r="L10" s="64" t="str">
        <f>IF(H10&lt;&gt;J10,"The amount reported for 1600 food service revenue from the Food Service AFR does not agree to the amount in the Accounting Data Tab. Please verify the amounts and ensure they agree.","")</f>
        <v/>
      </c>
    </row>
    <row r="11" spans="1:14" x14ac:dyDescent="0.2">
      <c r="A11" s="7" t="s">
        <v>36</v>
      </c>
      <c r="B11" s="782" t="s">
        <v>37</v>
      </c>
      <c r="C11" s="782"/>
      <c r="H11" s="552">
        <f>-(SUMIFS('Accounting data'!$G$2:$G$37000,'Accounting data'!$K$2:$K$37000,"1700*"))+SUMIFS('Accounting data'!$G$2:$G$37000,'Accounting data'!$H$2:$H$37000,"9999*",'Accounting data'!$K$2:$K$37000,"1700*")</f>
        <v>0</v>
      </c>
      <c r="I11" s="567" t="s">
        <v>36</v>
      </c>
      <c r="J11" s="64"/>
      <c r="K11" s="64"/>
      <c r="L11" s="64"/>
    </row>
    <row r="12" spans="1:14" x14ac:dyDescent="0.2">
      <c r="A12" s="65" t="s">
        <v>38</v>
      </c>
      <c r="B12" s="782" t="s">
        <v>39</v>
      </c>
      <c r="C12" s="782"/>
      <c r="D12" s="782"/>
      <c r="E12" s="782"/>
      <c r="F12" s="782"/>
      <c r="H12" s="552">
        <f>-(SUMIFS('Accounting data'!$G$2:$G$37000,'Accounting data'!$K$2:$K$37000,"1750*"))+SUMIFS('Accounting data'!$G$2:$G$37000,'Accounting data'!$H$2:$H$37000,"9999*",'Accounting data'!$K$2:$K$37000,"1750*")</f>
        <v>0</v>
      </c>
      <c r="I12" s="579" t="s">
        <v>38</v>
      </c>
      <c r="J12" s="64"/>
      <c r="K12" s="64"/>
      <c r="L12" s="64"/>
    </row>
    <row r="13" spans="1:14" x14ac:dyDescent="0.2">
      <c r="A13" s="66" t="s">
        <v>40</v>
      </c>
      <c r="B13" s="782" t="s">
        <v>41</v>
      </c>
      <c r="C13" s="782"/>
      <c r="H13" s="552">
        <f>-(SUMIFS('Accounting data'!$G$2:$G$37000,'Accounting data'!$K$2:$K$37000,"1790*"))+SUMIFS('Accounting data'!$G$2:$G$37000,'Accounting data'!$H$2:$H$37000,"9999*",'Accounting data'!$K$2:$K$37000,"1790*")</f>
        <v>0</v>
      </c>
      <c r="I13" s="579" t="s">
        <v>40</v>
      </c>
      <c r="J13" s="67"/>
      <c r="K13" s="64"/>
      <c r="L13" s="64"/>
    </row>
    <row r="14" spans="1:14" x14ac:dyDescent="0.2">
      <c r="A14" s="66" t="s">
        <v>42</v>
      </c>
      <c r="B14" s="782" t="s">
        <v>43</v>
      </c>
      <c r="C14" s="782"/>
      <c r="H14" s="672">
        <f>-(SUMIFS('Accounting data'!$G$2:$G$37000,'Accounting data'!$K$2:$K$37000,"1800*"))+SUMIFS('Accounting data'!$G$2:$G$37000,'Accounting data'!$H$2:$H$37000,"9999*",'Accounting data'!$K$2:$K$37000,"1800*")</f>
        <v>0</v>
      </c>
      <c r="I14" s="579" t="s">
        <v>42</v>
      </c>
      <c r="J14" s="64"/>
      <c r="K14" s="64"/>
      <c r="L14" s="64"/>
    </row>
    <row r="15" spans="1:14" x14ac:dyDescent="0.2">
      <c r="A15" s="66" t="s">
        <v>44</v>
      </c>
      <c r="B15" s="699" t="s">
        <v>1293</v>
      </c>
      <c r="C15" s="697"/>
      <c r="D15" s="698"/>
      <c r="E15" s="697"/>
      <c r="F15" s="698"/>
      <c r="H15" s="672">
        <f>-(SUMIFS('Accounting data'!$G$2:$G$37000,'Accounting data'!$K$2:$K$37000,"1900*"))+SUMIFS('Accounting data'!$G$2:$G$37000,'Accounting data'!$H$2:$H$37000,"9999*",'Accounting data'!$K$2:$K$37000,"1900*")</f>
        <v>0</v>
      </c>
      <c r="I15" s="579" t="s">
        <v>44</v>
      </c>
      <c r="J15" s="64"/>
      <c r="K15" s="64"/>
      <c r="L15" s="64"/>
    </row>
    <row r="16" spans="1:14" x14ac:dyDescent="0.2">
      <c r="A16" s="66" t="s">
        <v>45</v>
      </c>
      <c r="B16" s="699" t="s">
        <v>1280</v>
      </c>
      <c r="C16" s="699"/>
      <c r="D16" s="699"/>
      <c r="E16" s="699"/>
      <c r="F16" s="699"/>
      <c r="H16" s="672">
        <f>-(SUMIFS('Accounting data'!$G$2:$G$37000,'Accounting data'!$K$2:$K$37000,"1910*"))+SUMIFS('Accounting data'!$G$2:$G$37000,'Accounting data'!$H$2:$H$37000,"9999*",'Accounting data'!$K$2:$K$37000,"1910*")</f>
        <v>0</v>
      </c>
      <c r="I16" s="579" t="s">
        <v>45</v>
      </c>
      <c r="J16" s="64"/>
      <c r="K16" s="64"/>
      <c r="L16" s="64"/>
    </row>
    <row r="17" spans="1:27" x14ac:dyDescent="0.2">
      <c r="A17" s="66" t="s">
        <v>47</v>
      </c>
      <c r="B17" s="782" t="s">
        <v>46</v>
      </c>
      <c r="C17" s="782"/>
      <c r="H17" s="672">
        <f>-(SUMIFS('Accounting data'!$G$2:$G$37000,'Accounting data'!$K$2:$K$37000,"1920*"))+SUMIFS('Accounting data'!$G$2:$G$37000,'Accounting data'!$H$2:$H$37000,"9999*",'Accounting data'!$K$2:$K$37000,"1920*")</f>
        <v>0</v>
      </c>
      <c r="I17" s="579" t="s">
        <v>47</v>
      </c>
      <c r="J17" s="64"/>
      <c r="K17" s="64"/>
      <c r="L17" s="64"/>
    </row>
    <row r="18" spans="1:27" x14ac:dyDescent="0.2">
      <c r="A18" s="66" t="s">
        <v>49</v>
      </c>
      <c r="B18" s="699" t="s">
        <v>1281</v>
      </c>
      <c r="C18" s="699"/>
      <c r="D18" s="699"/>
      <c r="E18" s="699"/>
      <c r="F18" s="699"/>
      <c r="H18" s="672">
        <f>-(SUMIFS('Accounting data'!$G$2:$G$37000,'Accounting data'!$K$2:$K$37000,"1950*"))+SUMIFS('Accounting data'!$G$2:$G$37000,'Accounting data'!$H$2:$H$37000,"9999*",'Accounting data'!$K$2:$K$37000,"1950*")</f>
        <v>0</v>
      </c>
      <c r="I18" s="579" t="s">
        <v>49</v>
      </c>
      <c r="J18" s="64"/>
      <c r="K18" s="64"/>
      <c r="L18" s="64"/>
    </row>
    <row r="19" spans="1:27" x14ac:dyDescent="0.2">
      <c r="A19" s="66" t="s">
        <v>51</v>
      </c>
      <c r="B19" s="699" t="s">
        <v>1282</v>
      </c>
      <c r="C19" s="699"/>
      <c r="D19" s="699"/>
      <c r="E19" s="699"/>
      <c r="F19" s="699"/>
      <c r="H19" s="672">
        <f>-(SUMIFS('Accounting data'!$G$2:$G$37000,'Accounting data'!$K$2:$K$37000,"1960*"))+SUMIFS('Accounting data'!$G$2:$G$37000,'Accounting data'!$H$2:$H$37000,"9999*",'Accounting data'!$K$2:$K$37000,"1960*")</f>
        <v>0</v>
      </c>
      <c r="I19" s="579" t="s">
        <v>51</v>
      </c>
      <c r="J19" s="64"/>
      <c r="K19" s="64"/>
      <c r="L19" s="64"/>
    </row>
    <row r="20" spans="1:27" ht="15" x14ac:dyDescent="0.25">
      <c r="A20" s="671" t="s">
        <v>53</v>
      </c>
      <c r="B20" s="781" t="s">
        <v>48</v>
      </c>
      <c r="C20" s="781"/>
      <c r="D20" s="805"/>
      <c r="E20" s="806"/>
      <c r="F20" s="806"/>
      <c r="H20" s="672">
        <f>-(SUMIFS('Accounting data'!$G$2:$G$37000,'Accounting data'!$K$2:$K$37000,"Other Revenue from Local Sources"))+SUMIFS('Accounting data'!$G$2:$G$37000,'Accounting data'!$H$2:$H$37000,"9999*",'Accounting data'!$K$2:$K$37000,"Other Revenue from Local Sources")</f>
        <v>0</v>
      </c>
      <c r="I20" s="579" t="s">
        <v>53</v>
      </c>
      <c r="J20" s="64"/>
      <c r="K20" s="64"/>
      <c r="L20" s="64"/>
      <c r="AA20" s="51" t="str">
        <f>IF(OR(AND(D20="",H20&lt;&gt;0),AND(D25="",H25&lt;&gt;0),AND(D32="",H32&lt;&gt;0),AND(D40="",H40&lt;&gt;0)),"yes","")</f>
        <v/>
      </c>
    </row>
    <row r="21" spans="1:27" x14ac:dyDescent="0.2">
      <c r="A21" s="671" t="s">
        <v>55</v>
      </c>
      <c r="B21" s="781" t="s">
        <v>1302</v>
      </c>
      <c r="C21" s="781"/>
      <c r="H21" s="551">
        <f>-(SUMIFS('Accounting data'!$G$2:$G$37000,'Accounting data'!$K$2:$K$37000,"1*"))+SUMIFS('Accounting data'!$G$2:$G$37000,'Accounting data'!$H$2:$H$37000,"9999*",'Accounting data'!$K$2:$K$37000,"1*")+H20</f>
        <v>0</v>
      </c>
      <c r="I21" s="579" t="s">
        <v>55</v>
      </c>
      <c r="J21" s="64"/>
      <c r="K21" s="64"/>
      <c r="L21" s="64"/>
    </row>
    <row r="22" spans="1:27" x14ac:dyDescent="0.2">
      <c r="A22" s="549" t="s">
        <v>50</v>
      </c>
      <c r="B22" s="549"/>
      <c r="H22" s="29"/>
      <c r="I22" s="567" t="s">
        <v>20</v>
      </c>
      <c r="J22" s="64"/>
      <c r="K22" s="64"/>
      <c r="L22" s="64"/>
    </row>
    <row r="23" spans="1:27" x14ac:dyDescent="0.2">
      <c r="A23" s="671" t="s">
        <v>57</v>
      </c>
      <c r="B23" s="781" t="s">
        <v>52</v>
      </c>
      <c r="C23" s="781"/>
      <c r="H23" s="552">
        <f>-(SUMIFS('Accounting data'!$G$2:$G$37000,'Accounting data'!$K$2:$K$37000,"2100*"))+SUMIFS('Accounting data'!$G$2:$G$37000,'Accounting data'!$H$2:$H$37000,"9999*",'Accounting data'!$K$2:$K$37000,"2100*")</f>
        <v>0</v>
      </c>
      <c r="I23" s="579" t="s">
        <v>57</v>
      </c>
      <c r="J23" s="64"/>
      <c r="K23" s="64"/>
      <c r="L23" s="64"/>
    </row>
    <row r="24" spans="1:27" x14ac:dyDescent="0.2">
      <c r="A24" s="671" t="s">
        <v>59</v>
      </c>
      <c r="B24" s="781" t="s">
        <v>54</v>
      </c>
      <c r="C24" s="781"/>
      <c r="H24" s="552">
        <f>-(SUMIFS('Accounting data'!$G$2:$G$37000,'Accounting data'!$K$2:$K$37000,"2200*"))+SUMIFS('Accounting data'!$G$2:$G$37000,'Accounting data'!$H$2:$H$37000,"9999*",'Accounting data'!$K$2:$K$37000,"2200*")</f>
        <v>0</v>
      </c>
      <c r="I24" s="579" t="s">
        <v>59</v>
      </c>
      <c r="J24" s="64"/>
      <c r="K24" s="64"/>
      <c r="L24" s="64"/>
    </row>
    <row r="25" spans="1:27" ht="15" x14ac:dyDescent="0.25">
      <c r="A25" s="671" t="s">
        <v>61</v>
      </c>
      <c r="B25" s="781" t="s">
        <v>56</v>
      </c>
      <c r="C25" s="781"/>
      <c r="D25" s="805"/>
      <c r="E25" s="806"/>
      <c r="F25" s="806"/>
      <c r="H25" s="552">
        <f>-(SUMIFS('Accounting data'!$G$2:$G$37000,'Accounting data'!$K$2:$K$37000,"Other Revenue from Intermediate Sources"))+SUMIFS('Accounting data'!$G$2:$G$37000,'Accounting data'!$H$2:$H$37000,"9999*",'Accounting data'!$K$2:$K$37000,"Other Revenue from Intermediate Sources")</f>
        <v>0</v>
      </c>
      <c r="I25" s="579" t="s">
        <v>61</v>
      </c>
      <c r="J25" s="68"/>
      <c r="K25" s="68"/>
      <c r="L25" s="68"/>
      <c r="M25" s="69"/>
    </row>
    <row r="26" spans="1:27" x14ac:dyDescent="0.2">
      <c r="A26" s="671" t="s">
        <v>63</v>
      </c>
      <c r="B26" s="781" t="s">
        <v>1303</v>
      </c>
      <c r="C26" s="781"/>
      <c r="H26" s="551">
        <f>-(SUMIFS('Accounting data'!$G$2:$G$37000,'Accounting data'!$K$2:$K$37000,"2*"))+SUMIFS('Accounting data'!$G$2:$G$37000,'Accounting data'!$H$2:$H$37000,"9999*",'Accounting data'!$K$2:$K$37000,"2*")+H25</f>
        <v>0</v>
      </c>
      <c r="I26" s="579" t="s">
        <v>63</v>
      </c>
      <c r="J26" s="64"/>
      <c r="K26" s="64"/>
      <c r="L26" s="64"/>
    </row>
    <row r="27" spans="1:27" x14ac:dyDescent="0.2">
      <c r="A27" s="549" t="s">
        <v>58</v>
      </c>
      <c r="B27" s="549"/>
      <c r="H27" s="29"/>
      <c r="I27" s="567"/>
      <c r="J27" s="64"/>
      <c r="K27" s="64"/>
      <c r="L27" s="64"/>
    </row>
    <row r="28" spans="1:27" x14ac:dyDescent="0.2">
      <c r="A28" s="66" t="s">
        <v>65</v>
      </c>
      <c r="B28" s="782" t="s">
        <v>60</v>
      </c>
      <c r="C28" s="782"/>
      <c r="H28" s="552">
        <f>-(SUMIFS('Accounting data'!$G$2:$G$37000,'Accounting data'!$K$2:$K$37000,"3110*"))+SUMIFS('Accounting data'!$G$2:$G$37000,'Accounting data'!$H$2:$H$37000,"9999*",'Accounting data'!$K$2:$K$37000,"3110*")</f>
        <v>4383839</v>
      </c>
      <c r="I28" s="579" t="s">
        <v>65</v>
      </c>
      <c r="J28" s="64"/>
      <c r="K28" s="64"/>
      <c r="L28" s="64"/>
    </row>
    <row r="29" spans="1:27" x14ac:dyDescent="0.2">
      <c r="A29" s="65" t="s">
        <v>67</v>
      </c>
      <c r="B29" s="782" t="s">
        <v>62</v>
      </c>
      <c r="C29" s="782"/>
      <c r="H29" s="552">
        <f>-(SUMIFS('Accounting data'!$G$2:$G$37000,'Accounting data'!$K$2:$K$37000,"3130*"))+SUMIFS('Accounting data'!$G$2:$G$37000,'Accounting data'!$H$2:$H$37000,"9999*",'Accounting data'!$K$2:$K$37000,"3130*")</f>
        <v>71995</v>
      </c>
      <c r="I29" s="579" t="s">
        <v>67</v>
      </c>
      <c r="J29" s="64"/>
      <c r="K29" s="64"/>
      <c r="L29" s="64"/>
    </row>
    <row r="30" spans="1:27" x14ac:dyDescent="0.2">
      <c r="A30" s="668" t="s">
        <v>69</v>
      </c>
      <c r="B30" s="782" t="s">
        <v>64</v>
      </c>
      <c r="C30" s="782"/>
      <c r="H30" s="552">
        <f>-(SUMIFS('Accounting data'!$G$2:$G$37000,'Accounting data'!$K$2:$K$37000,"3200*"))+SUMIFS('Accounting data'!$G$2:$G$37000,'Accounting data'!$H$2:$H$37000,"9999*",'Accounting data'!$K$2:$K$37000,"3200*")</f>
        <v>571732</v>
      </c>
      <c r="I30" s="579" t="s">
        <v>69</v>
      </c>
      <c r="J30" s="68"/>
      <c r="K30" s="68"/>
      <c r="L30" s="68"/>
      <c r="M30" s="69"/>
    </row>
    <row r="31" spans="1:27" x14ac:dyDescent="0.2">
      <c r="A31" s="66" t="s">
        <v>71</v>
      </c>
      <c r="B31" s="782" t="s">
        <v>66</v>
      </c>
      <c r="C31" s="782"/>
      <c r="H31" s="552">
        <f>-(SUMIFS('Accounting data'!$G$2:$G$37000,'Accounting data'!$K$2:$K$37000,"3900*"))+SUMIFS('Accounting data'!$G$2:$G$37000,'Accounting data'!$H$2:$H$37000,"9999*",'Accounting data'!$K$2:$K$37000,"3900*")</f>
        <v>0</v>
      </c>
      <c r="I31" s="579" t="s">
        <v>71</v>
      </c>
      <c r="J31" s="64"/>
      <c r="K31" s="64"/>
      <c r="L31" s="64"/>
    </row>
    <row r="32" spans="1:27" ht="15" x14ac:dyDescent="0.25">
      <c r="A32" s="66" t="s">
        <v>73</v>
      </c>
      <c r="B32" s="782" t="s">
        <v>68</v>
      </c>
      <c r="C32" s="782"/>
      <c r="D32" s="805"/>
      <c r="E32" s="806"/>
      <c r="F32" s="806"/>
      <c r="H32" s="552">
        <f>-(SUMIFS('Accounting data'!$G$2:$G$37000,'Accounting data'!$K$2:$K$37000,"Other Revenue from State Sources"))+SUMIFS('Accounting data'!$G$2:$G$37000,'Accounting data'!$H$2:$H$37000,"9999*",'Accounting data'!$K$2:$K$37000,"Other Revenue from State Sources")</f>
        <v>0</v>
      </c>
      <c r="I32" s="579" t="s">
        <v>73</v>
      </c>
      <c r="J32" s="64"/>
      <c r="K32" s="64"/>
      <c r="L32" s="64"/>
    </row>
    <row r="33" spans="1:13" x14ac:dyDescent="0.2">
      <c r="A33" s="66" t="s">
        <v>75</v>
      </c>
      <c r="B33" s="781" t="s">
        <v>1304</v>
      </c>
      <c r="C33" s="781"/>
      <c r="H33" s="551">
        <f>-(SUMIFS('Accounting data'!$G$2:$G$37000,'Accounting data'!$K$2:$K$37000,"3*"))+SUMIFS('Accounting data'!$G$2:$G$37000,'Accounting data'!$H$2:$H$37000,"9999*",'Accounting data'!$K$2:$K$37000,"3*")+H32</f>
        <v>5027567</v>
      </c>
      <c r="I33" s="579" t="s">
        <v>75</v>
      </c>
      <c r="J33" s="64"/>
      <c r="K33" s="64"/>
      <c r="L33" s="64"/>
    </row>
    <row r="34" spans="1:13" x14ac:dyDescent="0.2">
      <c r="A34" s="3" t="s">
        <v>70</v>
      </c>
      <c r="B34" s="549"/>
      <c r="H34" s="29"/>
      <c r="I34" s="567"/>
      <c r="J34" s="64"/>
      <c r="K34" s="64"/>
      <c r="L34" s="64"/>
    </row>
    <row r="35" spans="1:13" x14ac:dyDescent="0.2">
      <c r="A35" s="668" t="s">
        <v>77</v>
      </c>
      <c r="B35" s="782" t="s">
        <v>72</v>
      </c>
      <c r="C35" s="782"/>
      <c r="D35" s="782"/>
      <c r="E35" s="782"/>
      <c r="F35" s="782"/>
      <c r="H35" s="552">
        <f>-(SUMIFS('Accounting data'!$G$2:$G$37000,'Accounting data'!$K$2:$K$37000,"4100*"))+SUMIFS('Accounting data'!$G$2:$G$37000,'Accounting data'!$H$2:$H$37000,"9999*",'Accounting data'!$K$2:$K$37000,"4100*")</f>
        <v>0</v>
      </c>
      <c r="I35" s="579" t="s">
        <v>77</v>
      </c>
      <c r="J35" s="64"/>
      <c r="K35" s="64"/>
      <c r="L35" s="64"/>
      <c r="M35" s="548"/>
    </row>
    <row r="36" spans="1:13" x14ac:dyDescent="0.2">
      <c r="A36" s="668" t="s">
        <v>79</v>
      </c>
      <c r="B36" s="782" t="s">
        <v>74</v>
      </c>
      <c r="C36" s="782"/>
      <c r="D36" s="782"/>
      <c r="E36" s="782"/>
      <c r="F36" s="782"/>
      <c r="H36" s="552">
        <f>-(SUMIFS('Accounting data'!$G$2:$G$37000,'Accounting data'!$K$2:$K$37000,"4200*"))+SUMIFS('Accounting data'!$G$2:$G$37000,'Accounting data'!$H$2:$H$37000,"9999*",'Accounting data'!$K$2:$K$37000,"4200*")</f>
        <v>38025</v>
      </c>
      <c r="I36" s="579" t="s">
        <v>79</v>
      </c>
      <c r="J36" s="68"/>
      <c r="K36" s="68"/>
      <c r="L36" s="64"/>
    </row>
    <row r="37" spans="1:13" x14ac:dyDescent="0.2">
      <c r="A37" s="70" t="s">
        <v>81</v>
      </c>
      <c r="B37" s="782" t="s">
        <v>76</v>
      </c>
      <c r="C37" s="782"/>
      <c r="D37" s="782"/>
      <c r="E37" s="782"/>
      <c r="F37" s="782"/>
      <c r="G37" s="782"/>
      <c r="H37" s="552">
        <f>-(SUMIFS('Accounting data'!$G$2:$G$37000,'Accounting data'!$K$2:$K$37000,"4700*"))+SUMIFS('Accounting data'!$G$2:$G$37000,'Accounting data'!$H$2:$H$37000,"9999*",'Accounting data'!$K$2:$K$37000,"4700*")</f>
        <v>0</v>
      </c>
      <c r="I37" s="579" t="s">
        <v>81</v>
      </c>
      <c r="J37" s="68"/>
      <c r="K37" s="68"/>
      <c r="L37" s="64"/>
    </row>
    <row r="38" spans="1:13" x14ac:dyDescent="0.2">
      <c r="A38" s="70" t="s">
        <v>83</v>
      </c>
      <c r="B38" s="567" t="s">
        <v>78</v>
      </c>
      <c r="H38" s="552">
        <f>-(SUMIFS('Accounting data'!$G$2:$G$37000,'Accounting data'!$K$2:$K$37000,"4800*"))+SUMIFS('Accounting data'!$G$2:$G$37000,'Accounting data'!$H$2:$H$37000,"9999*",'Accounting data'!$K$2:$K$37000,"4800*")</f>
        <v>0</v>
      </c>
      <c r="I38" s="579" t="s">
        <v>83</v>
      </c>
      <c r="J38" s="64"/>
      <c r="K38" s="64"/>
      <c r="L38" s="64"/>
    </row>
    <row r="39" spans="1:13" x14ac:dyDescent="0.2">
      <c r="A39" s="70" t="s">
        <v>84</v>
      </c>
      <c r="B39" s="782" t="s">
        <v>80</v>
      </c>
      <c r="C39" s="782"/>
      <c r="D39" s="782"/>
      <c r="E39" s="782"/>
      <c r="F39" s="782"/>
      <c r="G39" s="782"/>
      <c r="H39" s="552">
        <f>-(SUMIFS('Accounting data'!$G$2:$G$37000,'Accounting data'!$K$2:$K$37000,"4900*"))+SUMIFS('Accounting data'!$G$2:$G$37000,'Accounting data'!$H$2:$H$37000,"9999*",'Accounting data'!$K$2:$K$37000,"4900*")</f>
        <v>0</v>
      </c>
      <c r="I39" s="579" t="s">
        <v>84</v>
      </c>
      <c r="J39" s="64"/>
      <c r="K39" s="64"/>
      <c r="L39" s="64"/>
    </row>
    <row r="40" spans="1:13" ht="15" x14ac:dyDescent="0.25">
      <c r="A40" s="70" t="s">
        <v>137</v>
      </c>
      <c r="B40" s="782" t="s">
        <v>82</v>
      </c>
      <c r="C40" s="782"/>
      <c r="D40" s="805"/>
      <c r="E40" s="806"/>
      <c r="F40" s="806"/>
      <c r="H40" s="552">
        <f>-(SUMIFS('Accounting data'!$G$2:$G$37000,'Accounting data'!$K$2:$K$37000,"Other Revenue from Federal Sources"))+SUMIFS('Accounting data'!$G$2:$G$37000,'Accounting data'!$H$2:$H$37000,"9999*",'Accounting data'!$K$2:$K$37000,"Other Revenue from Federal Sources")</f>
        <v>0</v>
      </c>
      <c r="I40" s="579" t="s">
        <v>137</v>
      </c>
      <c r="J40" s="64"/>
      <c r="K40" s="64"/>
      <c r="L40" s="64"/>
    </row>
    <row r="41" spans="1:13" x14ac:dyDescent="0.2">
      <c r="A41" s="70" t="s">
        <v>138</v>
      </c>
      <c r="B41" s="781" t="s">
        <v>1305</v>
      </c>
      <c r="C41" s="781"/>
      <c r="H41" s="605">
        <f>-(SUMIFS('Accounting data'!$G$2:$G$37000,'Accounting data'!$K$2:$K$37000,"4*"))+SUMIFS('Accounting data'!$G$2:$G$37000,'Accounting data'!$H$2:$H$37000,"9999*",'Accounting data'!$K$2:$K$37000,"4*")+H40</f>
        <v>38025</v>
      </c>
      <c r="I41" s="579" t="s">
        <v>138</v>
      </c>
      <c r="J41" s="64"/>
      <c r="K41" s="64"/>
      <c r="L41" s="64"/>
    </row>
    <row r="42" spans="1:13" x14ac:dyDescent="0.2">
      <c r="A42" s="7"/>
      <c r="B42" s="549"/>
      <c r="H42" s="29"/>
      <c r="I42" s="567"/>
      <c r="J42" s="64"/>
      <c r="K42" s="64"/>
      <c r="L42" s="64"/>
    </row>
    <row r="43" spans="1:13" x14ac:dyDescent="0.2">
      <c r="A43" s="70" t="s">
        <v>140</v>
      </c>
      <c r="B43" s="804" t="s">
        <v>1306</v>
      </c>
      <c r="C43" s="804"/>
      <c r="D43" s="804"/>
      <c r="H43" s="552">
        <f>SUM(H21,H26,H33,H41)</f>
        <v>5065592</v>
      </c>
      <c r="I43" s="579" t="s">
        <v>140</v>
      </c>
      <c r="J43" s="64"/>
      <c r="K43" s="64"/>
      <c r="L43" s="64"/>
    </row>
  </sheetData>
  <sheetProtection sheet="1" formatCells="0" formatColumns="0" formatRows="0"/>
  <mergeCells count="41">
    <mergeCell ref="B32:C32"/>
    <mergeCell ref="B13:C13"/>
    <mergeCell ref="B14:C14"/>
    <mergeCell ref="B20:C20"/>
    <mergeCell ref="B29:C29"/>
    <mergeCell ref="B17:C17"/>
    <mergeCell ref="B26:C26"/>
    <mergeCell ref="B28:C28"/>
    <mergeCell ref="B23:C23"/>
    <mergeCell ref="M1:N1"/>
    <mergeCell ref="D12:F12"/>
    <mergeCell ref="B7:D7"/>
    <mergeCell ref="D25:F25"/>
    <mergeCell ref="B24:C24"/>
    <mergeCell ref="J7:K9"/>
    <mergeCell ref="J10:K10"/>
    <mergeCell ref="H1:I1"/>
    <mergeCell ref="B8:D8"/>
    <mergeCell ref="B9:C9"/>
    <mergeCell ref="B10:C10"/>
    <mergeCell ref="D20:F20"/>
    <mergeCell ref="A1:B1"/>
    <mergeCell ref="B25:C25"/>
    <mergeCell ref="B12:C12"/>
    <mergeCell ref="D3:F3"/>
    <mergeCell ref="B36:F36"/>
    <mergeCell ref="B5:D5"/>
    <mergeCell ref="B43:D43"/>
    <mergeCell ref="B37:G37"/>
    <mergeCell ref="B39:G39"/>
    <mergeCell ref="B40:C40"/>
    <mergeCell ref="B41:C41"/>
    <mergeCell ref="D40:F40"/>
    <mergeCell ref="B6:D6"/>
    <mergeCell ref="B11:C11"/>
    <mergeCell ref="B33:C33"/>
    <mergeCell ref="B31:C31"/>
    <mergeCell ref="B35:F35"/>
    <mergeCell ref="D32:F32"/>
    <mergeCell ref="B30:C30"/>
    <mergeCell ref="B21:C21"/>
  </mergeCells>
  <conditionalFormatting sqref="D20 D25 D32 D40">
    <cfRule type="expression" dxfId="77" priority="1" stopIfTrue="1">
      <formula>AND($D20="",$H20&lt;&gt;0)</formula>
    </cfRule>
  </conditionalFormatting>
  <hyperlinks>
    <hyperlink ref="A30" location="Restricted3200" display="16." xr:uid="{00000000-0004-0000-0200-000000000000}"/>
    <hyperlink ref="A35" location="Unrestricted_Restricted_4100_4300" display="20." xr:uid="{00000000-0004-0000-0200-000001000000}"/>
    <hyperlink ref="A10" location="Food_Service_1600" display="6." xr:uid="{00000000-0004-0000-0200-000002000000}"/>
    <hyperlink ref="A36" location="Unrestricted_Restricted_4200_4500" display="26." xr:uid="{00000000-0004-0000-0200-000003000000}"/>
    <hyperlink ref="D3:E3" location="GeneralPage1" display="Instructions" xr:uid="{3384DA67-5AC0-4DB9-9663-555DC28FA9B1}"/>
  </hyperlinks>
  <pageMargins left="0.7" right="0.7" top="0.75" bottom="0.75" header="0.3" footer="0.3"/>
  <pageSetup scale="82" orientation="landscape" verticalDpi="598" r:id="rId1"/>
  <headerFooter>
    <oddFooter>&amp;LRev. 8/25 Arizona Department of Education and Auditor General&amp;CFY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C69-F4DB-4029-9EA2-B293F2D70C6A}">
  <sheetPr>
    <pageSetUpPr fitToPage="1"/>
  </sheetPr>
  <dimension ref="A1:AF48"/>
  <sheetViews>
    <sheetView showGridLines="0" topLeftCell="A26" workbookViewId="0">
      <selection activeCell="H14" sqref="H14"/>
    </sheetView>
  </sheetViews>
  <sheetFormatPr defaultColWidth="9.33203125" defaultRowHeight="12.75" customHeight="1" x14ac:dyDescent="0.2"/>
  <cols>
    <col min="1" max="1" width="20.83203125" customWidth="1"/>
    <col min="2" max="2" width="34.1640625" customWidth="1"/>
    <col min="3" max="3" width="3.83203125" customWidth="1"/>
    <col min="4" max="5" width="12.83203125" customWidth="1"/>
    <col min="6" max="6" width="14.83203125" customWidth="1"/>
    <col min="7" max="12" width="12.83203125" customWidth="1"/>
    <col min="13" max="13" width="3" customWidth="1"/>
    <col min="14" max="14" width="9.33203125" customWidth="1"/>
  </cols>
  <sheetData>
    <row r="1" spans="1:32" ht="12" customHeight="1" x14ac:dyDescent="0.2">
      <c r="A1" s="549" t="s">
        <v>0</v>
      </c>
      <c r="B1" s="808" t="str">
        <f>'Cover Page'!D1</f>
        <v>Pima Rose Academy, Inc.</v>
      </c>
      <c r="C1" s="808"/>
      <c r="F1" s="62" t="s">
        <v>1</v>
      </c>
      <c r="G1" s="1" t="str">
        <f>'Cover Page'!M1</f>
        <v>Pima</v>
      </c>
      <c r="J1" s="62"/>
      <c r="K1" s="62" t="s">
        <v>2</v>
      </c>
      <c r="L1" s="2" t="str">
        <f>'Cover Page'!R1</f>
        <v>108602000</v>
      </c>
    </row>
    <row r="2" spans="1:32" ht="3.75" customHeight="1" x14ac:dyDescent="0.2">
      <c r="L2" s="4"/>
    </row>
    <row r="3" spans="1:32" ht="15.75" customHeight="1" x14ac:dyDescent="0.2">
      <c r="A3" s="71"/>
      <c r="B3" s="693" t="s">
        <v>726</v>
      </c>
      <c r="C3" s="640"/>
      <c r="D3" s="641"/>
      <c r="E3" s="75" t="s">
        <v>85</v>
      </c>
      <c r="F3" s="570" t="s">
        <v>86</v>
      </c>
      <c r="G3" s="75"/>
      <c r="H3" s="76"/>
      <c r="I3" s="818" t="s">
        <v>87</v>
      </c>
      <c r="J3" s="818"/>
      <c r="K3" s="818"/>
      <c r="L3" s="815" t="s">
        <v>88</v>
      </c>
    </row>
    <row r="4" spans="1:32" ht="12" customHeight="1" x14ac:dyDescent="0.2">
      <c r="A4" s="77" t="s">
        <v>89</v>
      </c>
      <c r="C4" s="78"/>
      <c r="D4" s="79" t="s">
        <v>90</v>
      </c>
      <c r="E4" s="80" t="s">
        <v>91</v>
      </c>
      <c r="F4" s="81" t="s">
        <v>92</v>
      </c>
      <c r="G4" s="82" t="s">
        <v>93</v>
      </c>
      <c r="H4" s="79" t="s">
        <v>94</v>
      </c>
      <c r="I4" s="83"/>
      <c r="J4" s="83"/>
      <c r="K4" s="570" t="s">
        <v>95</v>
      </c>
      <c r="L4" s="816"/>
    </row>
    <row r="5" spans="1:32" ht="11.25" customHeight="1" x14ac:dyDescent="0.2">
      <c r="A5" s="84" t="s">
        <v>96</v>
      </c>
      <c r="B5" s="6"/>
      <c r="C5" s="85"/>
      <c r="D5" s="575">
        <v>6100</v>
      </c>
      <c r="E5" s="86">
        <v>6200</v>
      </c>
      <c r="F5" s="86" t="s">
        <v>97</v>
      </c>
      <c r="G5" s="576">
        <v>6600</v>
      </c>
      <c r="H5" s="575">
        <v>6800</v>
      </c>
      <c r="I5" s="569" t="s">
        <v>98</v>
      </c>
      <c r="J5" s="86" t="s">
        <v>23</v>
      </c>
      <c r="K5" s="86" t="s">
        <v>99</v>
      </c>
      <c r="L5" s="817"/>
    </row>
    <row r="6" spans="1:32" ht="12" customHeight="1" x14ac:dyDescent="0.2">
      <c r="A6" s="87" t="s">
        <v>100</v>
      </c>
      <c r="B6" s="72"/>
      <c r="C6" s="73"/>
      <c r="D6" s="88"/>
      <c r="E6" s="88"/>
      <c r="F6" s="88"/>
      <c r="G6" s="88"/>
      <c r="H6" s="88"/>
      <c r="I6" s="88"/>
      <c r="J6" s="88"/>
      <c r="K6" s="88"/>
      <c r="L6" s="822">
        <f>IF(J7=K7,0,IF(K7&gt;0,(J7-K7)/K7,"--"))</f>
        <v>1.1355999999999999</v>
      </c>
      <c r="S6" s="548"/>
    </row>
    <row r="7" spans="1:32" ht="12" customHeight="1" x14ac:dyDescent="0.2">
      <c r="A7" s="89" t="s">
        <v>101</v>
      </c>
      <c r="C7" s="90" t="s">
        <v>24</v>
      </c>
      <c r="D7" s="555">
        <f>SUMIFS('Accounting data'!$G$2:$G$37000,'Accounting data'!$H$2:$H$37000,"1000*",'Accounting data'!$I$2:$I$37000,"1*",'Accounting data'!$J$2:$J$37000,"1*",'Accounting data'!$K$2:$K$37000,"61*")+SUMIFS('Accounting data'!$G$2:$G$37000,'Accounting data'!$H$2:$H$37000,"1500*",'Accounting data'!$I$2:$I$37000,"1*",'Accounting data'!$J$2:$J$37000,"1*",'Accounting data'!$K$2:$K$37000,"61*")</f>
        <v>0</v>
      </c>
      <c r="E7" s="555">
        <f>SUMIFS('Accounting data'!$G$2:$G$37000,'Accounting data'!$H$2:$H$37000,"1000*",'Accounting data'!$I$2:$I$37000,"1*",'Accounting data'!$J$2:$J$37000,"1*",'Accounting data'!$K$2:$K$37000,"62*")+SUMIFS('Accounting data'!$G$2:$G$37000,'Accounting data'!$H$2:$H$37000,"1500*",'Accounting data'!$I$2:$I$37000,"1*",'Accounting data'!$J$2:$J$37000,"1*",'Accounting data'!$K$2:$K$37000,"62*")</f>
        <v>0</v>
      </c>
      <c r="F7" s="555">
        <f>SUMIFS('Accounting data'!$G$2:$G$37000,'Accounting data'!$H$2:$H$37000,"1000*",'Accounting data'!$I$2:$I$37000,"1*",'Accounting data'!$J$2:$J$37000,"1*",'Accounting data'!$K$2:$K$37000,"63*")+SUMIFS('Accounting data'!$G$2:$G$37000,'Accounting data'!$H$2:$H$37000,"1500*",'Accounting data'!$I$2:$I$37000,"1*",'Accounting data'!$J$2:$J$37000,"1*",'Accounting data'!$K$2:$K$37000,"63*")+SUMIFS('Accounting data'!$G$2:$G$37000,'Accounting data'!$H$2:$H$37000,"1500*",'Accounting data'!$I$2:$I$37000,"1*",'Accounting data'!$J$2:$J$37000,"1*",'Accounting data'!$K$2:$K$37000,"6432*")+SUMIFS('Accounting data'!$G$2:$G$37000,'Accounting data'!$H$2:$H$37000,"1500*",'Accounting data'!$I$2:$I$37000,"1*",'Accounting data'!$J$2:$J$37000,"1*",'Accounting data'!$K$2:$K$37000,"6432*")+SUMIFS('Accounting data'!$G$2:$G$37000,'Accounting data'!$H$2:$H$37000,"1500*",'Accounting data'!$I$2:$I$37000,"1*",'Accounting data'!$J$2:$J$37000,"1*",'Accounting data'!$K$2:$K$37000,"6441*")+SUMIFS('Accounting data'!$G$2:$G$37000,'Accounting data'!$H$2:$H$37000,"1500*",'Accounting data'!$I$2:$I$37000,"1*",'Accounting data'!$J$2:$J$37000,"1*",'Accounting data'!$K$2:$K$37000,"6441*")+SUMIFS('Accounting data'!$G$2:$G$37000,'Accounting data'!$H$2:$H$37000,"1500*",'Accounting data'!$I$2:$I$37000,"1*",'Accounting data'!$J$2:$J$37000,"1*",'Accounting data'!$K$2:$K$37000,"6531*")+SUMIFS('Accounting data'!$G$2:$G$37000,'Accounting data'!$H$2:$H$37000,"1500*",'Accounting data'!$I$2:$I$37000,"1*",'Accounting data'!$J$2:$J$37000,"1*",'Accounting data'!$K$2:$K$37000,"6531*")</f>
        <v>2131873</v>
      </c>
      <c r="G7" s="555">
        <f>SUMIFS('Accounting data'!$G$2:$G$37000,'Accounting data'!$H$2:$H$37000,"1000*",'Accounting data'!$I$2:$I$37000,"1*",'Accounting data'!$J$2:$J$37000,"1*",'Accounting data'!$K$2:$K$37000,"66*")+SUMIFS('Accounting data'!$G$2:$G$37000,'Accounting data'!$H$2:$H$37000,"1500*",'Accounting data'!$I$2:$I$37000,"1*",'Accounting data'!$J$2:$J$37000,"1*",'Accounting data'!$K$2:$K$37000,"66*")</f>
        <v>72373</v>
      </c>
      <c r="H7" s="555">
        <f>SUMIFS('Accounting data'!$G$2:$G$37000,'Accounting data'!$H$2:$H$37000,"1000*",'Accounting data'!$I$2:$I$37000,"1*",'Accounting data'!$J$2:$J$37000,"1*",'Accounting data'!$K$2:$K$37000,"68*")+SUMIFS('Accounting data'!$G$2:$G$37000,'Accounting data'!$H$2:$H$37000,"1500*",'Accounting data'!$I$2:$I$37000,"1*",'Accounting data'!$J$2:$J$37000,"1*",'Accounting data'!$K$2:$K$37000,"68*")</f>
        <v>4218</v>
      </c>
      <c r="I7" s="555">
        <f>[1]!SP1000P100F1000</f>
        <v>1435666</v>
      </c>
      <c r="J7" s="555">
        <f>SUM(D7:H7)</f>
        <v>2208464</v>
      </c>
      <c r="K7" s="555">
        <f>[2]!SP1000P100F1000</f>
        <v>1034123</v>
      </c>
      <c r="L7" s="823"/>
      <c r="M7" s="91" t="s">
        <v>24</v>
      </c>
      <c r="S7" s="548"/>
    </row>
    <row r="8" spans="1:32" ht="12" customHeight="1" x14ac:dyDescent="0.2">
      <c r="A8" s="89" t="s">
        <v>102</v>
      </c>
      <c r="C8" s="78"/>
      <c r="D8" s="88"/>
      <c r="E8" s="88"/>
      <c r="F8" s="88"/>
      <c r="G8" s="92"/>
      <c r="H8" s="88"/>
      <c r="I8" s="88"/>
      <c r="J8" s="88"/>
      <c r="K8" s="88"/>
      <c r="L8" s="812">
        <f>IF(J9=K9,0,IF(K9&gt;0,(J9-K9)/K9,"--"))</f>
        <v>0.13850000000000001</v>
      </c>
      <c r="M8" s="567"/>
      <c r="S8" s="548"/>
    </row>
    <row r="9" spans="1:32" ht="12" customHeight="1" x14ac:dyDescent="0.2">
      <c r="A9" s="89" t="s">
        <v>103</v>
      </c>
      <c r="C9" s="90" t="s">
        <v>26</v>
      </c>
      <c r="D9" s="555">
        <f>SUMIFS('Accounting data'!$G$2:$G$37000,'Accounting data'!$H$2:$H$37000,"1000*",'Accounting data'!$I$2:$I$37000,"1*",'Accounting data'!$J$2:$J$37000,"21*",'Accounting data'!$K$2:$K$37000,"61*")+SUMIFS('Accounting data'!$G$2:$G$37000,'Accounting data'!$H$2:$H$37000,"1500*",'Accounting data'!$I$2:$I$37000,"1*",'Accounting data'!$J$2:$J$37000,"21*",'Accounting data'!$K$2:$K$37000,"61*")</f>
        <v>0</v>
      </c>
      <c r="E9" s="555">
        <f>SUMIFS('Accounting data'!$G$2:$G$37000,'Accounting data'!$H$2:$H$37000,"1000*",'Accounting data'!$I$2:$I$37000,"1*",'Accounting data'!$J$2:$J$37000,"21*",'Accounting data'!$K$2:$K$37000,"62*")+SUMIFS('Accounting data'!$G$2:$G$37000,'Accounting data'!$H$2:$H$37000,"1500*",'Accounting data'!$I$2:$I$37000,"1*",'Accounting data'!$J$2:$J$37000,"21*",'Accounting data'!$K$2:$K$37000,"62*")</f>
        <v>0</v>
      </c>
      <c r="F9" s="555">
        <f>SUMIFS('Accounting data'!$G$2:$G$37000,'Accounting data'!$H$2:$H$37000,"1000*",'Accounting data'!$I$2:$I$37000,"1*",'Accounting data'!$J$2:$J$37000,"21*",'Accounting data'!$K$2:$K$37000,"63*")+SUMIFS('Accounting data'!$G$2:$G$37000,'Accounting data'!$H$2:$H$37000,"1500*",'Accounting data'!$I$2:$I$37000,"1*",'Accounting data'!$J$2:$J$37000,"21*",'Accounting data'!$K$2:$K$37000,"63*")</f>
        <v>174317</v>
      </c>
      <c r="G9" s="555">
        <f>SUMIFS('Accounting data'!$G$2:$G$37000,'Accounting data'!$H$2:$H$37000,"1000*",'Accounting data'!$I$2:$I$37000,"1*",'Accounting data'!$J$2:$J$37000,"21*",'Accounting data'!$K$2:$K$37000,"66*")+SUMIFS('Accounting data'!$G$2:$G$37000,'Accounting data'!$H$2:$H$37000,"1500*",'Accounting data'!$I$2:$I$37000,"1*",'Accounting data'!$J$2:$J$37000,"21*",'Accounting data'!$K$2:$K$37000,"66*")</f>
        <v>8844</v>
      </c>
      <c r="H9" s="555">
        <f>SUMIFS('Accounting data'!$G$2:$G$37000,'Accounting data'!$H$2:$H$37000,"1000*",'Accounting data'!$I$2:$I$37000,"1*",'Accounting data'!$J$2:$J$37000,"21*",'Accounting data'!$K$2:$K$37000,"68*")+SUMIFS('Accounting data'!$G$2:$G$37000,'Accounting data'!$H$2:$H$37000,"1500*",'Accounting data'!$I$2:$I$37000,"1*",'Accounting data'!$J$2:$J$37000,"21*",'Accounting data'!$K$2:$K$37000,"68*")</f>
        <v>0</v>
      </c>
      <c r="I9" s="555">
        <f>[1]!SP1000P100F2100</f>
        <v>108692</v>
      </c>
      <c r="J9" s="555">
        <f>SUM(D9:H9)</f>
        <v>183161</v>
      </c>
      <c r="K9" s="555">
        <f>[2]!SP1000P100F2100</f>
        <v>160885</v>
      </c>
      <c r="L9" s="813"/>
      <c r="M9" s="91" t="s">
        <v>26</v>
      </c>
      <c r="N9" s="821" t="str">
        <f>IF('Page 2'!J48=0,"",IF(OR('Page 2'!J9&lt;=0),"The Charter did not report any expenses for student support services on line 2. If the Charter did not have any expense, verify by checking the box in A10 on the Cover Page.",""))</f>
        <v/>
      </c>
      <c r="O9" s="821"/>
      <c r="P9" s="821"/>
      <c r="Q9" s="821"/>
      <c r="R9" s="821"/>
      <c r="S9" s="821"/>
      <c r="T9" s="821"/>
      <c r="U9" s="821"/>
      <c r="V9" s="821"/>
      <c r="W9" s="821"/>
      <c r="X9" s="821"/>
      <c r="Y9" s="821"/>
      <c r="Z9" s="821"/>
      <c r="AA9" s="821"/>
      <c r="AB9" s="821"/>
      <c r="AC9" s="821"/>
      <c r="AD9" s="821"/>
      <c r="AE9" s="821"/>
      <c r="AF9" s="821"/>
    </row>
    <row r="10" spans="1:32" ht="12" customHeight="1" x14ac:dyDescent="0.2">
      <c r="A10" s="89" t="s">
        <v>104</v>
      </c>
      <c r="C10" s="90" t="s">
        <v>28</v>
      </c>
      <c r="D10" s="551">
        <f>SUMIFS('Accounting data'!$G$2:$G$37000,'Accounting data'!$H$2:$H$37000,"1000*",'Accounting data'!$I$2:$I$37000,"1*",'Accounting data'!$J$2:$J$37000,"22*",'Accounting data'!$K$2:$K$37000,"61*")+SUMIFS('Accounting data'!$G$2:$G$37000,'Accounting data'!$H$2:$H$37000,"1500*",'Accounting data'!$I$2:$I$37000,"1*",'Accounting data'!$J$2:$J$37000,"22*",'Accounting data'!$K$2:$K$37000,"61*")</f>
        <v>10059</v>
      </c>
      <c r="E10" s="551">
        <f>SUMIFS('Accounting data'!$G$2:$G$37000,'Accounting data'!$H$2:$H$37000,"1000*",'Accounting data'!$I$2:$I$37000,"1*",'Accounting data'!$J$2:$J$37000,"22*",'Accounting data'!$K$2:$K$37000,"62*")+SUMIFS('Accounting data'!$G$2:$G$37000,'Accounting data'!$H$2:$H$37000,"1500*",'Accounting data'!$I$2:$I$37000,"1*",'Accounting data'!$J$2:$J$37000,"22*",'Accounting data'!$K$2:$K$37000,"62*")</f>
        <v>17315</v>
      </c>
      <c r="F10" s="551">
        <f>SUMIFS('Accounting data'!$G$2:$G$37000,'Accounting data'!$H$2:$H$37000,"1000*",'Accounting data'!$I$2:$I$37000,"1*",'Accounting data'!$J$2:$J$37000,"22*",'Accounting data'!$K$2:$K$37000,"63*")+SUMIFS('Accounting data'!$G$2:$G$37000,'Accounting data'!$H$2:$H$37000,"1500*",'Accounting data'!$I$2:$I$37000,"1*",'Accounting data'!$J$2:$J$37000,"22*",'Accounting data'!$K$2:$K$37000,"63*")</f>
        <v>27053</v>
      </c>
      <c r="G10" s="551">
        <f>SUMIFS('Accounting data'!$G$2:$G$37000,'Accounting data'!$H$2:$H$37000,"1000*",'Accounting data'!$I$2:$I$37000,"1*",'Accounting data'!$J$2:$J$37000,"22*",'Accounting data'!$K$2:$K$37000,"66*")+SUMIFS('Accounting data'!$G$2:$G$37000,'Accounting data'!$H$2:$H$37000,"1500*",'Accounting data'!$I$2:$I$37000,"1*",'Accounting data'!$J$2:$J$37000,"22*",'Accounting data'!$K$2:$K$37000,"66*")</f>
        <v>1241</v>
      </c>
      <c r="H10" s="551">
        <f>SUMIFS('Accounting data'!$G$2:$G$37000,'Accounting data'!$H$2:$H$37000,"1000*",'Accounting data'!$I$2:$I$37000,"1*",'Accounting data'!$J$2:$J$37000,"22*",'Accounting data'!$K$2:$K$37000,"68*")+SUMIFS('Accounting data'!$G$2:$G$37000,'Accounting data'!$H$2:$H$37000,"1500*",'Accounting data'!$I$2:$I$37000,"1*",'Accounting data'!$J$2:$J$37000,"22*",'Accounting data'!$K$2:$K$37000,"68*")</f>
        <v>0</v>
      </c>
      <c r="I10" s="550">
        <f>[1]!SP1000P100F2200</f>
        <v>119069</v>
      </c>
      <c r="J10" s="552">
        <f t="shared" ref="J10:J22" si="0">SUM(D10:H10)</f>
        <v>55668</v>
      </c>
      <c r="K10" s="550">
        <f>[2]!SP1000P100F2200</f>
        <v>56861</v>
      </c>
      <c r="L10" s="553">
        <f t="shared" ref="L10:L20" si="1">IF(J10=K10,0,IF(K10&gt;0,(J10-K10)/K10,"--"))</f>
        <v>-2.1000000000000001E-2</v>
      </c>
      <c r="M10" s="91" t="s">
        <v>28</v>
      </c>
      <c r="N10" s="821" t="str">
        <f>IF('Page 2'!J48=0,"",IF(OR('Page 2'!J10&lt;=0),"The Charter did not report any expenses for instructional support services on line 3. If the Charter did not have any expense, verify by checking the box in A12 on the Cover Page.",""))</f>
        <v/>
      </c>
      <c r="O10" s="821"/>
      <c r="P10" s="821"/>
      <c r="Q10" s="821"/>
      <c r="R10" s="821"/>
      <c r="S10" s="821"/>
      <c r="T10" s="821"/>
      <c r="U10" s="821"/>
      <c r="V10" s="821"/>
      <c r="W10" s="821"/>
      <c r="X10" s="821"/>
      <c r="Y10" s="821"/>
      <c r="Z10" s="821"/>
      <c r="AA10" s="821"/>
      <c r="AB10" s="821"/>
      <c r="AC10" s="821"/>
      <c r="AD10" s="821"/>
      <c r="AE10" s="821"/>
      <c r="AF10" s="821"/>
    </row>
    <row r="11" spans="1:32" ht="12" customHeight="1" x14ac:dyDescent="0.2">
      <c r="A11" s="89" t="s">
        <v>105</v>
      </c>
      <c r="C11" s="90" t="s">
        <v>31</v>
      </c>
      <c r="D11" s="551">
        <f>SUMIFS('Accounting data'!$G$2:$G$37000,'Accounting data'!$H$2:$H$37000,"1000*",'Accounting data'!$I$2:$I$37000,"1*",'Accounting data'!$J$2:$J$37000,"23*",'Accounting data'!$K$2:$K$37000,"61*")+SUMIFS('Accounting data'!$G$2:$G$37000,'Accounting data'!$H$2:$H$37000,"1500*",'Accounting data'!$I$2:$I$37000,"1*",'Accounting data'!$J$2:$J$37000,"23*",'Accounting data'!$K$2:$K$37000,"61*")</f>
        <v>64470</v>
      </c>
      <c r="E11" s="551">
        <f>SUMIFS('Accounting data'!$G$2:$G$37000,'Accounting data'!$H$2:$H$37000,"1000*",'Accounting data'!$I$2:$I$37000,"1*",'Accounting data'!$J$2:$J$37000,"23*",'Accounting data'!$K$2:$K$37000,"62*")+SUMIFS('Accounting data'!$G$2:$G$37000,'Accounting data'!$H$2:$H$37000,"1500*",'Accounting data'!$I$2:$I$37000,"1*",'Accounting data'!$J$2:$J$37000,"23*",'Accounting data'!$K$2:$K$37000,"62*")</f>
        <v>28799</v>
      </c>
      <c r="F11" s="551">
        <f>SUMIFS('Accounting data'!$G$2:$G$37000,'Accounting data'!$H$2:$H$37000,"1000*",'Accounting data'!$I$2:$I$37000,"1*",'Accounting data'!$J$2:$J$37000,"23*",'Accounting data'!$K$2:$K$37000,"63*")+SUMIFS('Accounting data'!$G$2:$G$37000,'Accounting data'!$H$2:$H$37000,"1500*",'Accounting data'!$I$2:$I$37000,"1*",'Accounting data'!$J$2:$J$37000,"23*",'Accounting data'!$K$2:$K$37000,"63*")</f>
        <v>56970</v>
      </c>
      <c r="G11" s="551">
        <f>SUMIFS('Accounting data'!$G$2:$G$37000,'Accounting data'!$H$2:$H$37000,"1000*",'Accounting data'!$I$2:$I$37000,"1*",'Accounting data'!$J$2:$J$37000,"23*",'Accounting data'!$K$2:$K$37000,"66*")+SUMIFS('Accounting data'!$G$2:$G$37000,'Accounting data'!$H$2:$H$37000,"1500*",'Accounting data'!$I$2:$I$37000,"1*",'Accounting data'!$J$2:$J$37000,"23*",'Accounting data'!$K$2:$K$37000,"66*")</f>
        <v>0</v>
      </c>
      <c r="H11" s="551">
        <f>SUMIFS('Accounting data'!$G$2:$G$37000,'Accounting data'!$H$2:$H$37000,"1000*",'Accounting data'!$I$2:$I$37000,"1*",'Accounting data'!$J$2:$J$37000,"23*",'Accounting data'!$K$2:$K$37000,"68*")+SUMIFS('Accounting data'!$G$2:$G$37000,'Accounting data'!$H$2:$H$37000,"1500*",'Accounting data'!$I$2:$I$37000,"1*",'Accounting data'!$J$2:$J$37000,"23*",'Accounting data'!$K$2:$K$37000,"68*")</f>
        <v>0</v>
      </c>
      <c r="I11" s="550">
        <f>[1]!SP1000P100F2300</f>
        <v>181642</v>
      </c>
      <c r="J11" s="552">
        <f t="shared" si="0"/>
        <v>150239</v>
      </c>
      <c r="K11" s="550">
        <f>[2]!SP1000P100F2300</f>
        <v>136593</v>
      </c>
      <c r="L11" s="553">
        <f t="shared" si="1"/>
        <v>9.9900000000000003E-2</v>
      </c>
      <c r="M11" s="91" t="s">
        <v>31</v>
      </c>
      <c r="N11" s="8"/>
      <c r="O11" s="8"/>
      <c r="P11" s="8"/>
      <c r="Q11" s="8"/>
      <c r="R11" s="8"/>
      <c r="S11" s="8"/>
      <c r="T11" s="8"/>
      <c r="U11" s="8"/>
    </row>
    <row r="12" spans="1:32" ht="12" customHeight="1" x14ac:dyDescent="0.2">
      <c r="A12" s="89" t="s">
        <v>106</v>
      </c>
      <c r="C12" s="90" t="s">
        <v>33</v>
      </c>
      <c r="D12" s="551">
        <f>SUMIFS('Accounting data'!$G$2:$G$37000,'Accounting data'!$H$2:$H$37000,"1000*",'Accounting data'!$I$2:$I$37000,"1*",'Accounting data'!$J$2:$J$37000,"24*",'Accounting data'!$K$2:$K$37000,"61*")+SUMIFS('Accounting data'!$G$2:$G$37000,'Accounting data'!$H$2:$H$37000,"1500*",'Accounting data'!$I$2:$I$37000,"1*",'Accounting data'!$J$2:$J$37000,"24*",'Accounting data'!$K$2:$K$37000,"61*")</f>
        <v>68036</v>
      </c>
      <c r="E12" s="551">
        <f>SUMIFS('Accounting data'!$G$2:$G$37000,'Accounting data'!$H$2:$H$37000,"1000*",'Accounting data'!$I$2:$I$37000,"1*",'Accounting data'!$J$2:$J$37000,"24*",'Accounting data'!$K$2:$K$37000,"62*")+SUMIFS('Accounting data'!$G$2:$G$37000,'Accounting data'!$H$2:$H$37000,"1500*",'Accounting data'!$I$2:$I$37000,"1*",'Accounting data'!$J$2:$J$37000,"24*",'Accounting data'!$K$2:$K$37000,"62*")</f>
        <v>11323</v>
      </c>
      <c r="F12" s="551">
        <f>SUMIFS('Accounting data'!$G$2:$G$37000,'Accounting data'!$H$2:$H$37000,"1000*",'Accounting data'!$I$2:$I$37000,"1*",'Accounting data'!$J$2:$J$37000,"24*",'Accounting data'!$K$2:$K$37000,"63*")+SUMIFS('Accounting data'!$G$2:$G$37000,'Accounting data'!$H$2:$H$37000,"1500*",'Accounting data'!$I$2:$I$37000,"1*",'Accounting data'!$J$2:$J$37000,"24*",'Accounting data'!$K$2:$K$37000,"63*")</f>
        <v>83034</v>
      </c>
      <c r="G12" s="551">
        <f>SUMIFS('Accounting data'!$G$2:$G$37000,'Accounting data'!$H$2:$H$37000,"1000*",'Accounting data'!$I$2:$I$37000,"1*",'Accounting data'!$J$2:$J$37000,"24*",'Accounting data'!$K$2:$K$37000,"66*")+SUMIFS('Accounting data'!$G$2:$G$37000,'Accounting data'!$H$2:$H$37000,"1500*",'Accounting data'!$I$2:$I$37000,"1*",'Accounting data'!$J$2:$J$37000,"24*",'Accounting data'!$K$2:$K$37000,"66*")</f>
        <v>0</v>
      </c>
      <c r="H12" s="551">
        <f>SUMIFS('Accounting data'!$G$2:$G$37000,'Accounting data'!$H$2:$H$37000,"1000*",'Accounting data'!$I$2:$I$37000,"1*",'Accounting data'!$J$2:$J$37000,"24*",'Accounting data'!$K$2:$K$37000,"68*")+SUMIFS('Accounting data'!$G$2:$G$37000,'Accounting data'!$H$2:$H$37000,"1500*",'Accounting data'!$I$2:$I$37000,"1*",'Accounting data'!$J$2:$J$37000,"24*",'Accounting data'!$K$2:$K$37000,"68*")</f>
        <v>0</v>
      </c>
      <c r="I12" s="550">
        <f>[1]!SP1000P100F2400</f>
        <v>211463</v>
      </c>
      <c r="J12" s="552">
        <f t="shared" si="0"/>
        <v>162393</v>
      </c>
      <c r="K12" s="550">
        <f>[2]!SP1000P100F2400</f>
        <v>148616</v>
      </c>
      <c r="L12" s="553">
        <f t="shared" si="1"/>
        <v>9.2700000000000005E-2</v>
      </c>
      <c r="M12" s="91" t="s">
        <v>33</v>
      </c>
    </row>
    <row r="13" spans="1:32" ht="12" customHeight="1" x14ac:dyDescent="0.2">
      <c r="A13" s="89" t="s">
        <v>107</v>
      </c>
      <c r="C13" s="90" t="s">
        <v>35</v>
      </c>
      <c r="D13" s="551">
        <f>SUMIFS('Accounting data'!$G$2:$G$37000,'Accounting data'!$H$2:$H$37000,"1000*",'Accounting data'!$I$2:$I$37000,"1*",'Accounting data'!$J$2:$J$37000,"25*",'Accounting data'!$K$2:$K$37000,"61*")+SUMIFS('Accounting data'!$G$2:$G$37000,'Accounting data'!$H$2:$H$37000,"1500*",'Accounting data'!$I$2:$I$37000,"1*",'Accounting data'!$J$2:$J$37000,"25*",'Accounting data'!$K$2:$K$37000,"61*")</f>
        <v>35292</v>
      </c>
      <c r="E13" s="551">
        <f>SUMIFS('Accounting data'!$G$2:$G$37000,'Accounting data'!$H$2:$H$37000,"1000*",'Accounting data'!$I$2:$I$37000,"1*",'Accounting data'!$J$2:$J$37000,"25*",'Accounting data'!$K$2:$K$37000,"62*")+SUMIFS('Accounting data'!$G$2:$G$37000,'Accounting data'!$H$2:$H$37000,"1500*",'Accounting data'!$I$2:$I$37000,"1*",'Accounting data'!$J$2:$J$37000,"25*",'Accounting data'!$K$2:$K$37000,"62*")</f>
        <v>15640</v>
      </c>
      <c r="F13" s="551">
        <f>SUMIFS('Accounting data'!$G$2:$G$37000,'Accounting data'!$H$2:$H$37000,"1000*",'Accounting data'!$I$2:$I$37000,"1*",'Accounting data'!$J$2:$J$37000,"25*",'Accounting data'!$K$2:$K$37000,"63*")+SUMIFS('Accounting data'!$G$2:$G$37000,'Accounting data'!$H$2:$H$37000,"1500*",'Accounting data'!$I$2:$I$37000,"1*",'Accounting data'!$J$2:$J$37000,"25*",'Accounting data'!$K$2:$K$37000,"63*")</f>
        <v>254593</v>
      </c>
      <c r="G13" s="551">
        <f>SUMIFS('Accounting data'!$G$2:$G$37000,'Accounting data'!$H$2:$H$37000,"1000*",'Accounting data'!$I$2:$I$37000,"1*",'Accounting data'!$J$2:$J$37000,"25*",'Accounting data'!$K$2:$K$37000,"66*")+SUMIFS('Accounting data'!$G$2:$G$37000,'Accounting data'!$H$2:$H$37000,"1500*",'Accounting data'!$I$2:$I$37000,"1*",'Accounting data'!$J$2:$J$37000,"25*",'Accounting data'!$K$2:$K$37000,"66*")</f>
        <v>0</v>
      </c>
      <c r="H13" s="551">
        <f>SUMIFS('Accounting data'!$G$2:$G$37000,'Accounting data'!$H$2:$H$37000,"1000*",'Accounting data'!$I$2:$I$37000,"1*",'Accounting data'!$J$2:$J$37000,"25*",'Accounting data'!$K$2:$K$37000,"68*")+SUMIFS('Accounting data'!$G$2:$G$37000,'Accounting data'!$H$2:$H$37000,"1500*",'Accounting data'!$I$2:$I$37000,"1*",'Accounting data'!$J$2:$J$37000,"25*",'Accounting data'!$K$2:$K$37000,"68*")</f>
        <v>9855</v>
      </c>
      <c r="I13" s="550">
        <f>[1]!SP1000P100F2500</f>
        <v>362520</v>
      </c>
      <c r="J13" s="552">
        <f t="shared" si="0"/>
        <v>315380</v>
      </c>
      <c r="K13" s="550">
        <f>[2]!SP1000P100F2500</f>
        <v>269166</v>
      </c>
      <c r="L13" s="553">
        <f t="shared" si="1"/>
        <v>0.17169999999999999</v>
      </c>
      <c r="M13" s="91" t="s">
        <v>35</v>
      </c>
    </row>
    <row r="14" spans="1:32" ht="12" customHeight="1" x14ac:dyDescent="0.2">
      <c r="A14" s="89" t="s">
        <v>108</v>
      </c>
      <c r="C14" s="90" t="s">
        <v>36</v>
      </c>
      <c r="D14" s="551">
        <f>SUMIFS('Accounting data'!$G$2:$G$37000,'Accounting data'!$H$2:$H$37000,"1000*",'Accounting data'!$I$2:$I$37000,"1*",'Accounting data'!$J$2:$J$37000,"26*",'Accounting data'!$K$2:$K$37000,"61*")+SUMIFS('Accounting data'!$G$2:$G$37000,'Accounting data'!$H$2:$H$37000,"1500*",'Accounting data'!$I$2:$I$37000,"1*",'Accounting data'!$J$2:$J$37000,"26*",'Accounting data'!$K$2:$K$37000,"61*")</f>
        <v>0</v>
      </c>
      <c r="E14" s="551">
        <f>SUMIFS('Accounting data'!$G$2:$G$37000,'Accounting data'!$H$2:$H$37000,"1000*",'Accounting data'!$I$2:$I$37000,"1*",'Accounting data'!$J$2:$J$37000,"26*",'Accounting data'!$K$2:$K$37000,"62*")+SUMIFS('Accounting data'!$G$2:$G$37000,'Accounting data'!$H$2:$H$37000,"1500*",'Accounting data'!$I$2:$I$37000,"1*",'Accounting data'!$J$2:$J$37000,"26*",'Accounting data'!$K$2:$K$37000,"62*")</f>
        <v>0</v>
      </c>
      <c r="F14" s="551">
        <f>SUMIFS('Accounting data'!$G$2:$G$37000,'Accounting data'!$H$2:$H$37000,"1000*",'Accounting data'!$I$2:$I$37000,"1*",'Accounting data'!$J$2:$J$37000,"26*",'Accounting data'!$K$2:$K$37000,"63*")+SUMIFS('Accounting data'!$G$2:$G$37000,'Accounting data'!$H$2:$H$37000,"1500*",'Accounting data'!$I$2:$I$37000,"1*",'Accounting data'!$J$2:$J$37000,"26*",'Accounting data'!$K$2:$K$37000,"63*")</f>
        <v>626037</v>
      </c>
      <c r="G14" s="551">
        <f>SUMIFS('Accounting data'!$G$2:$G$37000,'Accounting data'!$H$2:$H$37000,"1000*",'Accounting data'!$I$2:$I$37000,"1*",'Accounting data'!$J$2:$J$37000,"26*",'Accounting data'!$K$2:$K$37000,"66*")+SUMIFS('Accounting data'!$G$2:$G$37000,'Accounting data'!$H$2:$H$37000,"1500*",'Accounting data'!$I$2:$I$37000,"1*",'Accounting data'!$J$2:$J$37000,"26*",'Accounting data'!$K$2:$K$37000,"66*")</f>
        <v>3942</v>
      </c>
      <c r="H14" s="551">
        <f>SUMIFS('Accounting data'!$G$2:$G$37000,'Accounting data'!$H$2:$H$37000,"1000*",'Accounting data'!$I$2:$I$37000,"1*",'Accounting data'!$J$2:$J$37000,"26*",'Accounting data'!$K$2:$K$37000,"68*")+SUMIFS('Accounting data'!$G$2:$G$37000,'Accounting data'!$H$2:$H$37000,"1500*",'Accounting data'!$I$2:$I$37000,"1*",'Accounting data'!$J$2:$J$37000,"26*",'Accounting data'!$K$2:$K$37000,"68*")</f>
        <v>1010</v>
      </c>
      <c r="I14" s="550">
        <f>[1]!SP1000P100F2600</f>
        <v>669754</v>
      </c>
      <c r="J14" s="552">
        <f t="shared" si="0"/>
        <v>630989</v>
      </c>
      <c r="K14" s="550">
        <f>[2]!SP1000P100F2600</f>
        <v>530410</v>
      </c>
      <c r="L14" s="553">
        <f t="shared" si="1"/>
        <v>0.18959999999999999</v>
      </c>
      <c r="M14" s="91" t="s">
        <v>36</v>
      </c>
    </row>
    <row r="15" spans="1:32" ht="12" customHeight="1" x14ac:dyDescent="0.2">
      <c r="A15" s="89" t="s">
        <v>109</v>
      </c>
      <c r="C15" s="90" t="s">
        <v>38</v>
      </c>
      <c r="D15" s="551">
        <f>SUMIFS('Accounting data'!$G$2:$G$37000,'Accounting data'!$H$2:$H$37000,"1000*",'Accounting data'!$I$2:$I$37000,"1*",'Accounting data'!$J$2:$J$37000,"29*",'Accounting data'!$K$2:$K$37000,"61*")+SUMIFS('Accounting data'!$G$2:$G$37000,'Accounting data'!$H$2:$H$37000,"1500*",'Accounting data'!$I$2:$I$37000,"1*",'Accounting data'!$J$2:$J$37000,"29*",'Accounting data'!$K$2:$K$37000,"61*")</f>
        <v>0</v>
      </c>
      <c r="E15" s="551">
        <f>SUMIFS('Accounting data'!$G$2:$G$37000,'Accounting data'!$H$2:$H$37000,"1000*",'Accounting data'!$I$2:$I$37000,"1*",'Accounting data'!$J$2:$J$37000,"29*",'Accounting data'!$K$2:$K$37000,"62*")+SUMIFS('Accounting data'!$G$2:$G$37000,'Accounting data'!$H$2:$H$37000,"1500*",'Accounting data'!$I$2:$I$37000,"1*",'Accounting data'!$J$2:$J$37000,"29*",'Accounting data'!$K$2:$K$37000,"62*")</f>
        <v>0</v>
      </c>
      <c r="F15" s="551">
        <f>SUMIFS('Accounting data'!$G$2:$G$37000,'Accounting data'!$H$2:$H$37000,"1000*",'Accounting data'!$I$2:$I$37000,"1*",'Accounting data'!$J$2:$J$37000,"29*",'Accounting data'!$K$2:$K$37000,"63*")+SUMIFS('Accounting data'!$G$2:$G$37000,'Accounting data'!$H$2:$H$37000,"1500*",'Accounting data'!$I$2:$I$37000,"1*",'Accounting data'!$J$2:$J$37000,"29*",'Accounting data'!$K$2:$K$37000,"63*")</f>
        <v>0</v>
      </c>
      <c r="G15" s="551">
        <f>SUMIFS('Accounting data'!$G$2:$G$37000,'Accounting data'!$H$2:$H$37000,"1000*",'Accounting data'!$I$2:$I$37000,"1*",'Accounting data'!$J$2:$J$37000,"29*",'Accounting data'!$K$2:$K$37000,"66*")+SUMIFS('Accounting data'!$G$2:$G$37000,'Accounting data'!$H$2:$H$37000,"1500*",'Accounting data'!$I$2:$I$37000,"1*",'Accounting data'!$J$2:$J$37000,"29*",'Accounting data'!$K$2:$K$37000,"66*")</f>
        <v>0</v>
      </c>
      <c r="H15" s="551">
        <f>SUMIFS('Accounting data'!$G$2:$G$37000,'Accounting data'!$H$2:$H$37000,"1000*",'Accounting data'!$I$2:$I$37000,"1*",'Accounting data'!$J$2:$J$37000,"29*",'Accounting data'!$K$2:$K$37000,"68*")+SUMIFS('Accounting data'!$G$2:$G$37000,'Accounting data'!$H$2:$H$37000,"1500*",'Accounting data'!$I$2:$I$37000,"1*",'Accounting data'!$J$2:$J$37000,"29*",'Accounting data'!$K$2:$K$37000,"68*")</f>
        <v>0</v>
      </c>
      <c r="I15" s="550">
        <f>[1]!SP1000P100F2900</f>
        <v>0</v>
      </c>
      <c r="J15" s="552">
        <f t="shared" si="0"/>
        <v>0</v>
      </c>
      <c r="K15" s="550">
        <f>[2]!SP1000P100F2900</f>
        <v>0</v>
      </c>
      <c r="L15" s="553">
        <f t="shared" si="1"/>
        <v>0</v>
      </c>
      <c r="M15" s="91" t="s">
        <v>38</v>
      </c>
    </row>
    <row r="16" spans="1:32" ht="12" customHeight="1" x14ac:dyDescent="0.2">
      <c r="A16" s="89" t="s">
        <v>110</v>
      </c>
      <c r="C16" s="90" t="s">
        <v>40</v>
      </c>
      <c r="D16" s="551">
        <f>SUMIFS('Accounting data'!$G$2:$G$37000,'Accounting data'!$H$2:$H$37000,"1000*",'Accounting data'!$I$2:$I$37000,"1*",'Accounting data'!$J$2:$J$37000,"3*",'Accounting data'!$K$2:$K$37000,"61*")+SUMIFS('Accounting data'!$G$2:$G$37000,'Accounting data'!$H$2:$H$37000,"1500*",'Accounting data'!$I$2:$I$37000,"1*",'Accounting data'!$J$2:$J$37000,"3*",'Accounting data'!$K$2:$K$37000,"61*")</f>
        <v>0</v>
      </c>
      <c r="E16" s="551">
        <f>SUMIFS('Accounting data'!$G$2:$G$37000,'Accounting data'!$H$2:$H$37000,"1000*",'Accounting data'!$I$2:$I$37000,"1*",'Accounting data'!$J$2:$J$37000,"3*",'Accounting data'!$K$2:$K$37000,"62*")+SUMIFS('Accounting data'!$G$2:$G$37000,'Accounting data'!$H$2:$H$37000,"1500*",'Accounting data'!$I$2:$I$37000,"1*",'Accounting data'!$J$2:$J$37000,"3*",'Accounting data'!$K$2:$K$37000,"62*")</f>
        <v>0</v>
      </c>
      <c r="F16" s="551">
        <f>SUMIFS('Accounting data'!$G$2:$G$37000,'Accounting data'!$H$2:$H$37000,"1000*",'Accounting data'!$I$2:$I$37000,"1*",'Accounting data'!$J$2:$J$37000,"3*",'Accounting data'!$K$2:$K$37000,"63*")+SUMIFS('Accounting data'!$G$2:$G$37000,'Accounting data'!$H$2:$H$37000,"1500*",'Accounting data'!$I$2:$I$37000,"1*",'Accounting data'!$J$2:$J$37000,"3*",'Accounting data'!$K$2:$K$37000,"63*")</f>
        <v>0</v>
      </c>
      <c r="G16" s="551">
        <f>SUMIFS('Accounting data'!$G$2:$G$37000,'Accounting data'!$H$2:$H$37000,"1000*",'Accounting data'!$I$2:$I$37000,"1*",'Accounting data'!$J$2:$J$37000,"3*",'Accounting data'!$K$2:$K$37000,"66*")+SUMIFS('Accounting data'!$G$2:$G$37000,'Accounting data'!$H$2:$H$37000,"1500*",'Accounting data'!$I$2:$I$37000,"1*",'Accounting data'!$J$2:$J$37000,"3*",'Accounting data'!$K$2:$K$37000,"66*")</f>
        <v>0</v>
      </c>
      <c r="H16" s="551">
        <f>SUMIFS('Accounting data'!$G$2:$G$37000,'Accounting data'!$H$2:$H$37000,"1000*",'Accounting data'!$I$2:$I$37000,"1*",'Accounting data'!$J$2:$J$37000,"3*",'Accounting data'!$K$2:$K$37000,"68*")+SUMIFS('Accounting data'!$G$2:$G$37000,'Accounting data'!$H$2:$H$37000,"1500*",'Accounting data'!$I$2:$I$37000,"1*",'Accounting data'!$J$2:$J$37000,"3*",'Accounting data'!$K$2:$K$37000,"68*")</f>
        <v>0</v>
      </c>
      <c r="I16" s="550">
        <f>[1]!SP1000P100F3000</f>
        <v>0</v>
      </c>
      <c r="J16" s="552">
        <f t="shared" si="0"/>
        <v>0</v>
      </c>
      <c r="K16" s="550">
        <f>[2]!SP1000P100F3000</f>
        <v>0</v>
      </c>
      <c r="L16" s="553">
        <f t="shared" si="1"/>
        <v>0</v>
      </c>
      <c r="M16" s="91" t="s">
        <v>40</v>
      </c>
    </row>
    <row r="17" spans="1:25" ht="12" customHeight="1" x14ac:dyDescent="0.2">
      <c r="A17" s="89" t="s">
        <v>111</v>
      </c>
      <c r="C17" s="90" t="s">
        <v>42</v>
      </c>
      <c r="D17" s="551">
        <f>SUMIFS('Accounting data'!$G$2:$G$37000,'Accounting data'!$H$2:$H$37000,"1000*",'Accounting data'!$I$2:$I$37000,"1*",'Accounting data'!$J$2:$J$37000,"4*",'Accounting data'!$K$2:$K$37000,"61*")+SUMIFS('Accounting data'!$G$2:$G$37000,'Accounting data'!$H$2:$H$37000,"1500*",'Accounting data'!$I$2:$I$37000,"1*",'Accounting data'!$J$2:$J$37000,"4*",'Accounting data'!$K$2:$K$37000,"61*")</f>
        <v>0</v>
      </c>
      <c r="E17" s="551">
        <f>SUMIFS('Accounting data'!$G$2:$G$37000,'Accounting data'!$H$2:$H$37000,"1000*",'Accounting data'!$I$2:$I$37000,"1*",'Accounting data'!$J$2:$J$37000,"4*",'Accounting data'!$K$2:$K$37000,"62*")+SUMIFS('Accounting data'!$G$2:$G$37000,'Accounting data'!$H$2:$H$37000,"1500*",'Accounting data'!$I$2:$I$37000,"1*",'Accounting data'!$J$2:$J$37000,"4*",'Accounting data'!$K$2:$K$37000,"62*")</f>
        <v>0</v>
      </c>
      <c r="F17" s="551">
        <f>SUMIFS('Accounting data'!$G$2:$G$37000,'Accounting data'!$H$2:$H$37000,"1000*",'Accounting data'!$I$2:$I$37000,"1*",'Accounting data'!$J$2:$J$37000,"4*",'Accounting data'!$K$2:$K$37000,"63*")+SUMIFS('Accounting data'!$G$2:$G$37000,'Accounting data'!$H$2:$H$37000,"1500*",'Accounting data'!$I$2:$I$37000,"1*",'Accounting data'!$J$2:$J$37000,"4*",'Accounting data'!$K$2:$K$37000,"63*")</f>
        <v>0</v>
      </c>
      <c r="G17" s="551">
        <f>SUMIFS('Accounting data'!$G$2:$G$37000,'Accounting data'!$H$2:$H$37000,"1000*",'Accounting data'!$I$2:$I$37000,"1*",'Accounting data'!$J$2:$J$37000,"4*",'Accounting data'!$K$2:$K$37000,"66*")+SUMIFS('Accounting data'!$G$2:$G$37000,'Accounting data'!$H$2:$H$37000,"1500*",'Accounting data'!$I$2:$I$37000,"1*",'Accounting data'!$J$2:$J$37000,"4*",'Accounting data'!$K$2:$K$37000,"66*")</f>
        <v>0</v>
      </c>
      <c r="H17" s="551">
        <f>SUMIFS('Accounting data'!$G$2:$G$37000,'Accounting data'!$H$2:$H$37000,"1000*",'Accounting data'!$I$2:$I$37000,"1*",'Accounting data'!$J$2:$J$37000,"4*",'Accounting data'!$K$2:$K$37000,"68*")+SUMIFS('Accounting data'!$G$2:$G$37000,'Accounting data'!$H$2:$H$37000,"1500*",'Accounting data'!$I$2:$I$37000,"1*",'Accounting data'!$J$2:$J$37000,"4*",'Accounting data'!$K$2:$K$37000,"68*")</f>
        <v>0</v>
      </c>
      <c r="I17" s="550">
        <f>[1]!SP1000P100F4000</f>
        <v>0</v>
      </c>
      <c r="J17" s="552">
        <f t="shared" si="0"/>
        <v>0</v>
      </c>
      <c r="K17" s="550">
        <f>[2]!SP1000P100F4000</f>
        <v>0</v>
      </c>
      <c r="L17" s="553">
        <f t="shared" si="1"/>
        <v>0</v>
      </c>
      <c r="M17" s="91" t="s">
        <v>42</v>
      </c>
    </row>
    <row r="18" spans="1:25" ht="12" customHeight="1" x14ac:dyDescent="0.2">
      <c r="A18" s="89" t="s">
        <v>112</v>
      </c>
      <c r="C18" s="90" t="s">
        <v>44</v>
      </c>
      <c r="D18" s="551">
        <f>SUMIFS('Accounting data'!$G$2:$G$37000,'Accounting data'!$H$2:$H$37000,"1000*",'Accounting data'!$I$2:$I$37000,"1*",'Accounting data'!$J$2:$J$37000,"5*",'Accounting data'!$K$2:$K$37000,"61*")+SUMIFS('Accounting data'!$G$2:$G$37000,'Accounting data'!$H$2:$H$37000,"1500*",'Accounting data'!$I$2:$I$37000,"1*",'Accounting data'!$J$2:$J$37000,"5*",'Accounting data'!$K$2:$K$37000,"61*")</f>
        <v>0</v>
      </c>
      <c r="E18" s="551">
        <f>SUMIFS('Accounting data'!$G$2:$G$37000,'Accounting data'!$H$2:$H$37000,"1000*",'Accounting data'!$I$2:$I$37000,"1*",'Accounting data'!$J$2:$J$37000,"5*",'Accounting data'!$K$2:$K$37000,"62*")+SUMIFS('Accounting data'!$G$2:$G$37000,'Accounting data'!$H$2:$H$37000,"1500*",'Accounting data'!$I$2:$I$37000,"1*",'Accounting data'!$J$2:$J$37000,"5*",'Accounting data'!$K$2:$K$37000,"62*")</f>
        <v>0</v>
      </c>
      <c r="F18" s="551">
        <f>SUMIFS('Accounting data'!$G$2:$G$37000,'Accounting data'!$H$2:$H$37000,"1000*",'Accounting data'!$I$2:$I$37000,"1*",'Accounting data'!$J$2:$J$37000,"5*",'Accounting data'!$K$2:$K$37000,"63*")+SUMIFS('Accounting data'!$G$2:$G$37000,'Accounting data'!$H$2:$H$37000,"1500*",'Accounting data'!$I$2:$I$37000,"1*",'Accounting data'!$J$2:$J$37000,"5*",'Accounting data'!$K$2:$K$37000,"63*")</f>
        <v>0</v>
      </c>
      <c r="G18" s="551">
        <f>SUMIFS('Accounting data'!$G$2:$G$37000,'Accounting data'!$H$2:$H$37000,"1000*",'Accounting data'!$I$2:$I$37000,"1*",'Accounting data'!$J$2:$J$37000,"5*",'Accounting data'!$K$2:$K$37000,"66*")+SUMIFS('Accounting data'!$G$2:$G$37000,'Accounting data'!$H$2:$H$37000,"1500*",'Accounting data'!$I$2:$I$37000,"1*",'Accounting data'!$J$2:$J$37000,"5*",'Accounting data'!$K$2:$K$37000,"66*")</f>
        <v>0</v>
      </c>
      <c r="H18" s="551">
        <f>SUMIFS('Accounting data'!$G$2:$G$37000,'Accounting data'!$H$2:$H$37000,"1000*",'Accounting data'!$I$2:$I$37000,"1*",'Accounting data'!$J$2:$J$37000,"5*",'Accounting data'!$K$2:$K$37000,"68*")+SUMIFS('Accounting data'!$G$2:$G$37000,'Accounting data'!$H$2:$H$37000,"1500*",'Accounting data'!$I$2:$I$37000,"1*",'Accounting data'!$J$2:$J$37000,"5*",'Accounting data'!$K$2:$K$37000,"68*")</f>
        <v>0</v>
      </c>
      <c r="I18" s="550">
        <f>[1]!SP1000P100F5000</f>
        <v>0</v>
      </c>
      <c r="J18" s="552">
        <f t="shared" si="0"/>
        <v>0</v>
      </c>
      <c r="K18" s="550">
        <f>[2]!SP1000P100F5000</f>
        <v>0</v>
      </c>
      <c r="L18" s="553">
        <f t="shared" si="1"/>
        <v>0</v>
      </c>
      <c r="M18" s="91" t="s">
        <v>44</v>
      </c>
    </row>
    <row r="19" spans="1:25" ht="12" customHeight="1" x14ac:dyDescent="0.2">
      <c r="A19" s="89" t="s">
        <v>113</v>
      </c>
      <c r="C19" s="90" t="s">
        <v>45</v>
      </c>
      <c r="D19" s="551">
        <f>SUMIFS('Accounting data'!$G$2:$G$37000,'Accounting data'!$H$2:$H$37000,"1000*",'Accounting data'!$I$2:$I$37000,"61*",'Accounting data'!$K$2:$K$37000,"61*")+SUMIFS('Accounting data'!$G$2:$G$37000,'Accounting data'!$H$2:$H$37000,"1500*",'Accounting data'!$I$2:$I$37000,"61*",'Accounting data'!$K$2:$K$37000,"61*")</f>
        <v>0</v>
      </c>
      <c r="E19" s="551">
        <f>SUMIFS('Accounting data'!$G$2:$G$37000,'Accounting data'!$H$2:$H$37000,"1000*",'Accounting data'!$I$2:$I$37000,"61*",'Accounting data'!$K$2:$K$37000,"62*")+SUMIFS('Accounting data'!$G$2:$G$37000,'Accounting data'!$H$2:$H$37000,"1500*",'Accounting data'!$I$2:$I$37000,"61*",'Accounting data'!$K$2:$K$37000,"62*")</f>
        <v>0</v>
      </c>
      <c r="F19" s="551">
        <f>SUMIFS('Accounting data'!$G$2:$G$37000,'Accounting data'!$H$2:$H$37000,"1000*",'Accounting data'!$I$2:$I$37000,"61*",'Accounting data'!$K$2:$K$37000,"63*")+SUMIFS('Accounting data'!$G$2:$G$37000,'Accounting data'!$H$2:$H$37000,"1500*",'Accounting data'!$I$2:$I$37000,"61*",'Accounting data'!$K$2:$K$37000,"63*")</f>
        <v>0</v>
      </c>
      <c r="G19" s="551">
        <f>SUMIFS('Accounting data'!$G$2:$G$37000,'Accounting data'!$H$2:$H$37000,"1000*",'Accounting data'!$I$2:$I$37000,"61*",'Accounting data'!$K$2:$K$37000,"66*")+SUMIFS('Accounting data'!$G$2:$G$37000,'Accounting data'!$H$2:$H$37000,"1500*",'Accounting data'!$I$2:$I$37000,"61*",'Accounting data'!$K$2:$K$37000,"66*")</f>
        <v>0</v>
      </c>
      <c r="H19" s="551">
        <f>SUMIFS('Accounting data'!$G$2:$G$37000,'Accounting data'!$H$2:$H$37000,"1000*",'Accounting data'!$I$2:$I$37000,"61*",'Accounting data'!$K$2:$K$37000,"68*")+SUMIFS('Accounting data'!$G$2:$G$37000,'Accounting data'!$H$2:$H$37000,"1500*",'Accounting data'!$I$2:$I$37000,"61*",'Accounting data'!$K$2:$K$37000,"68*")</f>
        <v>0</v>
      </c>
      <c r="I19" s="550">
        <f>[1]!SP1000P610</f>
        <v>0</v>
      </c>
      <c r="J19" s="552">
        <f t="shared" si="0"/>
        <v>0</v>
      </c>
      <c r="K19" s="550">
        <f>[2]!SP1000P610</f>
        <v>0</v>
      </c>
      <c r="L19" s="553">
        <f t="shared" si="1"/>
        <v>0</v>
      </c>
      <c r="M19" s="91" t="s">
        <v>45</v>
      </c>
    </row>
    <row r="20" spans="1:25" ht="12" customHeight="1" x14ac:dyDescent="0.2">
      <c r="A20" s="89" t="s">
        <v>114</v>
      </c>
      <c r="C20" s="90" t="s">
        <v>47</v>
      </c>
      <c r="D20" s="551">
        <f>SUMIFS('Accounting data'!$G$2:$G$37000,'Accounting data'!$H$2:$H$37000,"1000*",'Accounting data'!$I$2:$I$37000,"62*",'Accounting data'!$K$2:$K$37000,"61*")+SUMIFS('Accounting data'!$G$2:$G$37000,'Accounting data'!$H$2:$H$37000,"1500*",'Accounting data'!$I$2:$I$37000,"62*",'Accounting data'!$K$2:$K$37000,"61*")</f>
        <v>0</v>
      </c>
      <c r="E20" s="551">
        <f>SUMIFS('Accounting data'!$G$2:$G$37000,'Accounting data'!$H$2:$H$37000,"1000*",'Accounting data'!$I$2:$I$37000,"62*",'Accounting data'!$K$2:$K$37000,"62*")+SUMIFS('Accounting data'!$G$2:$G$37000,'Accounting data'!$H$2:$H$37000,"1500*",'Accounting data'!$I$2:$I$37000,"62*",'Accounting data'!$K$2:$K$37000,"62*")</f>
        <v>0</v>
      </c>
      <c r="F20" s="551">
        <f>SUMIFS('Accounting data'!$G$2:$G$37000,'Accounting data'!$H$2:$H$37000,"1000*",'Accounting data'!$I$2:$I$37000,"62*",'Accounting data'!$K$2:$K$37000,"63*")+SUMIFS('Accounting data'!$G$2:$G$37000,'Accounting data'!$H$2:$H$37000,"1500*",'Accounting data'!$I$2:$I$37000,"62*",'Accounting data'!$K$2:$K$37000,"63*")</f>
        <v>0</v>
      </c>
      <c r="G20" s="551">
        <f>SUMIFS('Accounting data'!$G$2:$G$37000,'Accounting data'!$H$2:$H$37000,"1000*",'Accounting data'!$I$2:$I$37000,"62*",'Accounting data'!$K$2:$K$37000,"66*")+SUMIFS('Accounting data'!$G$2:$G$37000,'Accounting data'!$H$2:$H$37000,"1500*",'Accounting data'!$I$2:$I$37000,"62*",'Accounting data'!$K$2:$K$37000,"66*")</f>
        <v>0</v>
      </c>
      <c r="H20" s="551">
        <f>SUMIFS('Accounting data'!$G$2:$G$37000,'Accounting data'!$H$2:$H$37000,"1000*",'Accounting data'!$I$2:$I$37000,"62*",'Accounting data'!$K$2:$K$37000,"68*")+SUMIFS('Accounting data'!$G$2:$G$37000,'Accounting data'!$H$2:$H$37000,"1500*",'Accounting data'!$I$2:$I$37000,"62*",'Accounting data'!$K$2:$K$37000,"68*")</f>
        <v>0</v>
      </c>
      <c r="I20" s="550">
        <f>[1]!SP1000P620</f>
        <v>0</v>
      </c>
      <c r="J20" s="552">
        <f t="shared" si="0"/>
        <v>0</v>
      </c>
      <c r="K20" s="550">
        <f>[2]!SP1000P620</f>
        <v>0</v>
      </c>
      <c r="L20" s="553">
        <f t="shared" si="1"/>
        <v>0</v>
      </c>
      <c r="M20" s="91" t="s">
        <v>47</v>
      </c>
    </row>
    <row r="21" spans="1:25" ht="12" customHeight="1" x14ac:dyDescent="0.2">
      <c r="A21" s="89" t="s">
        <v>115</v>
      </c>
      <c r="C21" s="90" t="s">
        <v>49</v>
      </c>
      <c r="D21" s="551">
        <f>SUMIFS('Accounting data'!$G$2:$G$37000,'Accounting data'!$H$2:$H$37000,"1000*",'Accounting data'!$I$2:$I$37000,"63*",'Accounting data'!$K$2:$K$37000,"61*")+SUMIFS('Accounting data'!$G$2:$G$37000,'Accounting data'!$H$2:$H$37000,"1500*",'Accounting data'!$I$2:$I$37000,"63*",'Accounting data'!$K$2:$K$37000,"61*")</f>
        <v>0</v>
      </c>
      <c r="E21" s="551">
        <f>SUMIFS('Accounting data'!$G$2:$G$37000,'Accounting data'!$H$2:$H$37000,"1000*",'Accounting data'!$I$2:$I$37000,"63*",'Accounting data'!$K$2:$K$37000,"62*")+SUMIFS('Accounting data'!$G$2:$G$37000,'Accounting data'!$H$2:$H$37000,"1500*",'Accounting data'!$I$2:$I$37000,"63*",'Accounting data'!$K$2:$K$37000,"62*")</f>
        <v>0</v>
      </c>
      <c r="F21" s="551">
        <f>SUMIFS('Accounting data'!$G$2:$G$37000,'Accounting data'!$H$2:$H$37000,"1000*",'Accounting data'!$I$2:$I$37000,"63*",'Accounting data'!$K$2:$K$37000,"63*")+SUMIFS('Accounting data'!$G$2:$G$37000,'Accounting data'!$H$2:$H$37000,"1500*",'Accounting data'!$I$2:$I$37000,"63*",'Accounting data'!$K$2:$K$37000,"63*")</f>
        <v>0</v>
      </c>
      <c r="G21" s="551">
        <f>SUMIFS('Accounting data'!$G$2:$G$37000,'Accounting data'!$H$2:$H$37000,"1000*",'Accounting data'!$I$2:$I$37000,"63*",'Accounting data'!$K$2:$K$37000,"66*")+SUMIFS('Accounting data'!$G$2:$G$37000,'Accounting data'!$H$2:$H$37000,"1500*",'Accounting data'!$I$2:$I$37000,"63*",'Accounting data'!$K$2:$K$37000,"66*")</f>
        <v>0</v>
      </c>
      <c r="H21" s="599">
        <f>SUMIFS('Accounting data'!$G$2:$G$37000,'Accounting data'!$H$2:$H$37000,"1000*",'Accounting data'!$I$2:$I$37000,"63*",'Accounting data'!$K$2:$K$37000,"68*")+SUMIFS('Accounting data'!$G$2:$G$37000,'Accounting data'!$H$2:$H$37000,"1500*",'Accounting data'!$I$2:$I$37000,"63*",'Accounting data'!$K$2:$K$37000,"68*")</f>
        <v>0</v>
      </c>
      <c r="I21" s="819">
        <f>[1]!SP1000P630700800900</f>
        <v>0</v>
      </c>
      <c r="J21" s="600">
        <f t="shared" si="0"/>
        <v>0</v>
      </c>
      <c r="K21" s="550">
        <f>'[2]Page 2'!$J$21</f>
        <v>0</v>
      </c>
      <c r="L21" s="812">
        <f>IF(J21+J22=K22,0,IF(K22&gt;0,(J21+J22-K22)/K22,"--"))</f>
        <v>0</v>
      </c>
      <c r="M21" s="66" t="s">
        <v>49</v>
      </c>
    </row>
    <row r="22" spans="1:25" ht="12" customHeight="1" x14ac:dyDescent="0.2">
      <c r="A22" s="89" t="s">
        <v>116</v>
      </c>
      <c r="C22" s="90" t="s">
        <v>51</v>
      </c>
      <c r="D22" s="551">
        <f>SUMIFS('Accounting data'!$G$2:$G$37000,'Accounting data'!$H$2:$H$37000,"1000*",'Accounting data'!$I$2:$I$37000,"7*",'Accounting data'!$K$2:$K$37000,"61*")+SUMIFS('Accounting data'!$G$2:$G$37000,'Accounting data'!$H$2:$H$37000,"1000*",'Accounting data'!$I$2:$I$37000,"8*",'Accounting data'!$K$2:$K$37000,"61*")+SUMIFS('Accounting data'!$G$2:$G$37000,'Accounting data'!$H$2:$H$37000,"1000*",'Accounting data'!$I$2:$I$37000,"9*",'Accounting data'!$K$2:$K$37000,"61*")+SUMIFS('Accounting data'!$G$2:$G$37000,'Accounting data'!$H$2:$H$37000,"1500*",'Accounting data'!$I$2:$I$37000,"7*",'Accounting data'!$K$2:$K$37000,"61*")+SUMIFS('Accounting data'!$G$2:$G$37000,'Accounting data'!$H$2:$H$37000,"1500*",'Accounting data'!$I$2:$I$37000,"8*",'Accounting data'!$K$2:$K$37000,"61*")+SUMIFS('Accounting data'!$G$2:$G$37000,'Accounting data'!$H$2:$H$37000,"1500*",'Accounting data'!$I$2:$I$37000,"9*",'Accounting data'!$K$2:$K$37000,"61*")</f>
        <v>0</v>
      </c>
      <c r="E22" s="551">
        <f>SUMIFS('Accounting data'!$G$2:$G$37000,'Accounting data'!$H$2:$H$37000,"1000*",'Accounting data'!$I$2:$I$37000,"7*",'Accounting data'!$K$2:$K$37000,"62*")+SUMIFS('Accounting data'!$G$2:$G$37000,'Accounting data'!$H$2:$H$37000,"1000*",'Accounting data'!$I$2:$I$37000,"8*",'Accounting data'!$K$2:$K$37000,"62*")+SUMIFS('Accounting data'!$G$2:$G$37000,'Accounting data'!$H$2:$H$37000,"1000*",'Accounting data'!$I$2:$I$37000,"9*",'Accounting data'!$K$2:$K$37000,"62*")+SUMIFS('Accounting data'!$G$2:$G$37000,'Accounting data'!$H$2:$H$37000,"1500*",'Accounting data'!$I$2:$I$37000,"7*",'Accounting data'!$K$2:$K$37000,"62*")+SUMIFS('Accounting data'!$G$2:$G$37000,'Accounting data'!$H$2:$H$37000,"1500*",'Accounting data'!$I$2:$I$37000,"8*",'Accounting data'!$K$2:$K$37000,"62*")+SUMIFS('Accounting data'!$G$2:$G$37000,'Accounting data'!$H$2:$H$37000,"1500*",'Accounting data'!$I$2:$I$37000,"9*",'Accounting data'!$K$2:$K$37000,"62*")</f>
        <v>0</v>
      </c>
      <c r="F22" s="551">
        <f>SUMIFS('Accounting data'!$G$2:$G$37000,'Accounting data'!$H$2:$H$37000,"1000*",'Accounting data'!$I$2:$I$37000,"7*",'Accounting data'!$K$2:$K$37000,"63*")+SUMIFS('Accounting data'!$G$2:$G$37000,'Accounting data'!$H$2:$H$37000,"1000*",'Accounting data'!$I$2:$I$37000,"8*",'Accounting data'!$K$2:$K$37000,"63*")+SUMIFS('Accounting data'!$G$2:$G$37000,'Accounting data'!$H$2:$H$37000,"1000*",'Accounting data'!$I$2:$I$37000,"9*",'Accounting data'!$K$2:$K$37000,"63*")+SUMIFS('Accounting data'!$G$2:$G$37000,'Accounting data'!$H$2:$H$37000,"1500*",'Accounting data'!$I$2:$I$37000,"7*",'Accounting data'!$K$2:$K$37000,"63*")+SUMIFS('Accounting data'!$G$2:$G$37000,'Accounting data'!$H$2:$H$37000,"1500*",'Accounting data'!$I$2:$I$37000,"8*",'Accounting data'!$K$2:$K$37000,"63*")+SUMIFS('Accounting data'!$G$2:$G$37000,'Accounting data'!$H$2:$H$37000,"1500*",'Accounting data'!$I$2:$I$37000,"9*",'Accounting data'!$K$2:$K$37000,"63*")</f>
        <v>0</v>
      </c>
      <c r="G22" s="551">
        <f>SUMIFS('Accounting data'!$G$2:$G$37000,'Accounting data'!$H$2:$H$37000,"1000*",'Accounting data'!$I$2:$I$37000,"7*",'Accounting data'!$K$2:$K$37000,"66*")+SUMIFS('Accounting data'!$G$2:$G$37000,'Accounting data'!$H$2:$H$37000,"1000*",'Accounting data'!$I$2:$I$37000,"8*",'Accounting data'!$K$2:$K$37000,"66*")+SUMIFS('Accounting data'!$G$2:$G$37000,'Accounting data'!$H$2:$H$37000,"1000*",'Accounting data'!$I$2:$I$37000,"9*",'Accounting data'!$K$2:$K$37000,"66*")+SUMIFS('Accounting data'!$G$2:$G$37000,'Accounting data'!$H$2:$H$37000,"1500*",'Accounting data'!$I$2:$I$37000,"7*",'Accounting data'!$K$2:$K$37000,"66*")+SUMIFS('Accounting data'!$G$2:$G$37000,'Accounting data'!$H$2:$H$37000,"1500*",'Accounting data'!$I$2:$I$37000,"8*",'Accounting data'!$K$2:$K$37000,"66*")+SUMIFS('Accounting data'!$G$2:$G$37000,'Accounting data'!$H$2:$H$37000,"1500*",'Accounting data'!$I$2:$I$37000,"9*",'Accounting data'!$K$2:$K$37000,"66*")</f>
        <v>0</v>
      </c>
      <c r="H22" s="551">
        <f>SUMIFS('Accounting data'!$G$2:$G$37000,'Accounting data'!$H$2:$H$37000,"1000*",'Accounting data'!$I$2:$I$37000,"7*",'Accounting data'!$K$2:$K$37000,"68*")+SUMIFS('Accounting data'!$G$2:$G$37000,'Accounting data'!$H$2:$H$37000,"1000*",'Accounting data'!$I$2:$I$37000,"8*",'Accounting data'!$K$2:$K$37000,"68*")+SUMIFS('Accounting data'!$G$2:$G$37000,'Accounting data'!$H$2:$H$37000,"1000*",'Accounting data'!$I$2:$I$37000,"9*",'Accounting data'!$K$2:$K$37000,"68*")+SUMIFS('Accounting data'!$G$2:$G$37000,'Accounting data'!$H$2:$H$37000,"1500*",'Accounting data'!$I$2:$I$37000,"7*",'Accounting data'!$K$2:$K$37000,"68*")+SUMIFS('Accounting data'!$G$2:$G$37000,'Accounting data'!$H$2:$H$37000,"1500*",'Accounting data'!$I$2:$I$37000,"8*",'Accounting data'!$K$2:$K$37000,"68*")+SUMIFS('Accounting data'!$G$2:$G$37000,'Accounting data'!$H$2:$H$37000,"1500*",'Accounting data'!$I$2:$I$37000,"9*",'Accounting data'!$K$2:$K$37000,"68*")</f>
        <v>0</v>
      </c>
      <c r="I22" s="820"/>
      <c r="J22" s="552">
        <f t="shared" si="0"/>
        <v>0</v>
      </c>
      <c r="K22" s="550">
        <f>[2]!SP1000P630700800900</f>
        <v>0</v>
      </c>
      <c r="L22" s="814"/>
      <c r="M22" s="66" t="s">
        <v>51</v>
      </c>
    </row>
    <row r="23" spans="1:25" ht="12" customHeight="1" x14ac:dyDescent="0.2">
      <c r="A23" s="93" t="s">
        <v>117</v>
      </c>
      <c r="B23" s="6"/>
      <c r="C23" s="94" t="s">
        <v>53</v>
      </c>
      <c r="D23" s="551">
        <f t="shared" ref="D23:H23" si="2">SUM(D6:D22)</f>
        <v>177857</v>
      </c>
      <c r="E23" s="551">
        <f t="shared" si="2"/>
        <v>73077</v>
      </c>
      <c r="F23" s="551">
        <f t="shared" si="2"/>
        <v>3353877</v>
      </c>
      <c r="G23" s="551">
        <f t="shared" si="2"/>
        <v>86400</v>
      </c>
      <c r="H23" s="551">
        <f t="shared" si="2"/>
        <v>15083</v>
      </c>
      <c r="I23" s="552">
        <f>SUM(I7:I22)</f>
        <v>3088806</v>
      </c>
      <c r="J23" s="552">
        <f>SUM(J7:J22)</f>
        <v>3706294</v>
      </c>
      <c r="K23" s="552">
        <f>SUM(K7:K22)</f>
        <v>2336654</v>
      </c>
      <c r="L23" s="553">
        <f>IF(J23=K23,0,IF(K23&gt;0,(J23-K23)/K23,"--"))</f>
        <v>0.58620000000000005</v>
      </c>
      <c r="M23" s="66" t="s">
        <v>53</v>
      </c>
    </row>
    <row r="24" spans="1:25" ht="12" customHeight="1" x14ac:dyDescent="0.2">
      <c r="A24" s="95" t="s">
        <v>118</v>
      </c>
      <c r="C24" s="78"/>
      <c r="D24" s="88"/>
      <c r="E24" s="88"/>
      <c r="F24" s="88"/>
      <c r="G24" s="88"/>
      <c r="H24" s="88"/>
      <c r="I24" s="88"/>
      <c r="J24" s="88"/>
      <c r="K24" s="88"/>
      <c r="L24" s="812">
        <f>IF(J25=K25,0,IF(K25&gt;0,(J25-K25)/K25,"--"))</f>
        <v>1.1944999999999999</v>
      </c>
      <c r="M24" s="567"/>
    </row>
    <row r="25" spans="1:25" ht="12" customHeight="1" x14ac:dyDescent="0.2">
      <c r="A25" s="89" t="s">
        <v>119</v>
      </c>
      <c r="C25" s="90" t="s">
        <v>55</v>
      </c>
      <c r="D25" s="555">
        <f>SUMIFS('Accounting data'!$G$2:$G$37000,'Accounting data'!$H$2:$H$37000,"1000*",'Accounting data'!$I$2:$I$37000,"200*",'Accounting data'!$J$2:$J$37000,"1*",'Accounting data'!$K$2:$K$37000,"61*")+SUMIFS('Accounting data'!$G$2:$G$37000,'Accounting data'!$H$2:$H$37000,"1500*",'Accounting data'!$I$2:$I$37000,"200*",'Accounting data'!$J$2:$J$37000,"1*",'Accounting data'!$K$2:$K$37000,"61*")+SUMIFS('Accounting data'!$G$2:$G$37000,'Accounting data'!$H$2:$H$37000,"1000*",'Accounting data'!$I$2:$I$37000,"270*",'Accounting data'!$J$2:$J$37000,"1*",'Accounting data'!$K$2:$K$37000,"61*")+SUMIFS('Accounting data'!$G$2:$G$37000,'Accounting data'!$H$2:$H$37000,"1500*",'Accounting data'!$I$2:$I$37000,"270*",'Accounting data'!$J$2:$J$37000,"1*",'Accounting data'!$K$2:$K$37000,"61*")</f>
        <v>0</v>
      </c>
      <c r="E25" s="555">
        <f>SUMIFS('Accounting data'!$G$2:$G$37000,'Accounting data'!$H$2:$H$37000,"1000*",'Accounting data'!$I$2:$I$37000,"200*",'Accounting data'!$J$2:$J$37000,"1*",'Accounting data'!$K$2:$K$37000,"62*")+SUMIFS('Accounting data'!$G$2:$G$37000,'Accounting data'!$H$2:$H$37000,"1500*",'Accounting data'!$I$2:$I$37000,"200*",'Accounting data'!$J$2:$J$37000,"1*",'Accounting data'!$K$2:$K$37000,"62*")+SUMIFS('Accounting data'!$G$2:$G$37000,'Accounting data'!$H$2:$H$37000,"1000*",'Accounting data'!$I$2:$I$37000,"270*",'Accounting data'!$J$2:$J$37000,"1*",'Accounting data'!$K$2:$K$37000,"62*")+SUMIFS('Accounting data'!$G$2:$G$37000,'Accounting data'!$H$2:$H$37000,"1500*",'Accounting data'!$I$2:$I$37000,"270*",'Accounting data'!$J$2:$J$37000,"1*",'Accounting data'!$K$2:$K$37000,"62*")</f>
        <v>0</v>
      </c>
      <c r="F25" s="555">
        <f>SUMIFS('Accounting data'!$G$2:$G$37000,'Accounting data'!$H$2:$H$37000,"1000*",'Accounting data'!$I$2:$I$37000,"200*",'Accounting data'!$J$2:$J$37000,"1*",'Accounting data'!$K$2:$K$37000,"63*")+SUMIFS('Accounting data'!$G$2:$G$37000,'Accounting data'!$H$2:$H$37000,"1500*",'Accounting data'!$I$2:$I$37000,"200*",'Accounting data'!$J$2:$J$37000,"1*",'Accounting data'!$K$2:$K$37000,"63*")+SUMIFS('Accounting data'!$G$2:$G$37000,'Accounting data'!$H$2:$H$37000,"1000*",'Accounting data'!$I$2:$I$37000,"270*",'Accounting data'!$J$2:$J$37000,"1*",'Accounting data'!$K$2:$K$37000,"63*")+SUMIFS('Accounting data'!$G$2:$G$37000,'Accounting data'!$H$2:$H$37000,"1500*",'Accounting data'!$I$2:$I$37000,"270*",'Accounting data'!$J$2:$J$37000,"1*",'Accounting data'!$K$2:$K$37000,"63*")</f>
        <v>85130</v>
      </c>
      <c r="G25" s="555">
        <f>SUMIFS('Accounting data'!$G$2:$G$37000,'Accounting data'!$H$2:$H$37000,"1000*",'Accounting data'!$I$2:$I$37000,"200*",'Accounting data'!$J$2:$J$37000,"1*",'Accounting data'!$K$2:$K$37000,"66*")+SUMIFS('Accounting data'!$G$2:$G$37000,'Accounting data'!$H$2:$H$37000,"1500*",'Accounting data'!$I$2:$I$37000,"200*",'Accounting data'!$J$2:$J$37000,"1*",'Accounting data'!$K$2:$K$37000,"66*")+SUMIFS('Accounting data'!$G$2:$G$37000,'Accounting data'!$H$2:$H$37000,"1000*",'Accounting data'!$I$2:$I$37000,"270*",'Accounting data'!$J$2:$J$37000,"1*",'Accounting data'!$K$2:$K$37000,"66*")+SUMIFS('Accounting data'!$G$2:$G$37000,'Accounting data'!$H$2:$H$37000,"1500*",'Accounting data'!$I$2:$I$37000,"270*",'Accounting data'!$J$2:$J$37000,"1*",'Accounting data'!$K$2:$K$37000,"66*")</f>
        <v>0</v>
      </c>
      <c r="H25" s="555">
        <f>SUMIFS('Accounting data'!$G$2:$G$37000,'Accounting data'!$H$2:$H$37000,"1000*",'Accounting data'!$I$2:$I$37000,"200*",'Accounting data'!$J$2:$J$37000,"1*",'Accounting data'!$K$2:$K$37000,"68*")+SUMIFS('Accounting data'!$G$2:$G$37000,'Accounting data'!$H$2:$H$37000,"1500*",'Accounting data'!$I$2:$I$37000,"200*",'Accounting data'!$J$2:$J$37000,"1*",'Accounting data'!$K$2:$K$37000,"68*")+SUMIFS('Accounting data'!$G$2:$G$37000,'Accounting data'!$H$2:$H$37000,"1000*",'Accounting data'!$I$2:$I$37000,"270*",'Accounting data'!$J$2:$J$37000,"1*",'Accounting data'!$K$2:$K$37000,"68*")+SUMIFS('Accounting data'!$G$2:$G$37000,'Accounting data'!$H$2:$H$37000,"1500*",'Accounting data'!$I$2:$I$37000,"270*",'Accounting data'!$J$2:$J$37000,"1*",'Accounting data'!$K$2:$K$37000,"68*")</f>
        <v>0</v>
      </c>
      <c r="I25" s="555">
        <f>[1]!SP1000P200F1000</f>
        <v>122575</v>
      </c>
      <c r="J25" s="555">
        <f>SUM(D25:H25)</f>
        <v>85130</v>
      </c>
      <c r="K25" s="555">
        <f>[2]!SP1000P200F1000</f>
        <v>38792</v>
      </c>
      <c r="L25" s="813"/>
      <c r="M25" s="66" t="s">
        <v>55</v>
      </c>
      <c r="Y25" s="548"/>
    </row>
    <row r="26" spans="1:25" ht="12" customHeight="1" x14ac:dyDescent="0.2">
      <c r="A26" s="89" t="s">
        <v>120</v>
      </c>
      <c r="C26" s="90"/>
      <c r="D26" s="88"/>
      <c r="E26" s="88"/>
      <c r="F26" s="88"/>
      <c r="G26" s="88"/>
      <c r="H26" s="88"/>
      <c r="I26" s="88"/>
      <c r="J26" s="88"/>
      <c r="K26" s="88"/>
      <c r="L26" s="812">
        <f>IF(J27=K27,0,IF(K27&gt;0,(J27-K27)/K27,"--"))</f>
        <v>0.32079999999999997</v>
      </c>
      <c r="M26" s="66"/>
      <c r="T26" s="548"/>
    </row>
    <row r="27" spans="1:25" ht="12" customHeight="1" x14ac:dyDescent="0.2">
      <c r="A27" s="89" t="s">
        <v>121</v>
      </c>
      <c r="C27" s="90" t="s">
        <v>57</v>
      </c>
      <c r="D27" s="555">
        <f>SUMIFS('Accounting data'!$G$2:$G$37000,'Accounting data'!$H$2:$H$37000,"1000*",'Accounting data'!$I$2:$I$37000,"200*",'Accounting data'!$J$2:$J$37000,"21*",'Accounting data'!$K$2:$K$37000,"61*")+SUMIFS('Accounting data'!$G$2:$G$37000,'Accounting data'!$H$2:$H$37000,"1500*",'Accounting data'!$I$2:$I$37000,"200*",'Accounting data'!$J$2:$J$37000,"21*",'Accounting data'!$K$2:$K$37000,"61*")+SUMIFS('Accounting data'!$G$2:$G$37000,'Accounting data'!$H$2:$H$37000,"1000*",'Accounting data'!$I$2:$I$37000,"270*",'Accounting data'!$J$2:$J$37000,"21*",'Accounting data'!$K$2:$K$37000,"61*")+SUMIFS('Accounting data'!$G$2:$G$37000,'Accounting data'!$H$2:$H$37000,"1500*",'Accounting data'!$I$2:$I$37000,"270*",'Accounting data'!$J$2:$J$37000,"21*",'Accounting data'!$K$2:$K$37000,"61*")</f>
        <v>0</v>
      </c>
      <c r="E27" s="555">
        <f>SUMIFS('Accounting data'!$G$2:$G$37000,'Accounting data'!$H$2:$H$37000,"1000*",'Accounting data'!$I$2:$I$37000,"200*",'Accounting data'!$J$2:$J$37000,"21*",'Accounting data'!$K$2:$K$37000,"62*")+SUMIFS('Accounting data'!$G$2:$G$37000,'Accounting data'!$H$2:$H$37000,"1500*",'Accounting data'!$I$2:$I$37000,"200*",'Accounting data'!$J$2:$J$37000,"21*",'Accounting data'!$K$2:$K$37000,"62*")+SUMIFS('Accounting data'!$G$2:$G$37000,'Accounting data'!$H$2:$H$37000,"1000*",'Accounting data'!$I$2:$I$37000,"270*",'Accounting data'!$J$2:$J$37000,"21*",'Accounting data'!$K$2:$K$37000,"62*")+SUMIFS('Accounting data'!$G$2:$G$37000,'Accounting data'!$H$2:$H$37000,"1500*",'Accounting data'!$I$2:$I$37000,"270*",'Accounting data'!$J$2:$J$37000,"21*",'Accounting data'!$K$2:$K$37000,"62*")</f>
        <v>0</v>
      </c>
      <c r="F27" s="555">
        <f>SUMIFS('Accounting data'!$G$2:$G$37000,'Accounting data'!$H$2:$H$37000,"1000*",'Accounting data'!$I$2:$I$37000,"200*",'Accounting data'!$J$2:$J$37000,"21*",'Accounting data'!$K$2:$K$37000,"63*")+SUMIFS('Accounting data'!$G$2:$G$37000,'Accounting data'!$H$2:$H$37000,"1500*",'Accounting data'!$I$2:$I$37000,"200*",'Accounting data'!$J$2:$J$37000,"21*",'Accounting data'!$K$2:$K$37000,"63*")+SUMIFS('Accounting data'!$G$2:$G$37000,'Accounting data'!$H$2:$H$37000,"1000*",'Accounting data'!$I$2:$I$37000,"270*",'Accounting data'!$J$2:$J$37000,"21*",'Accounting data'!$K$2:$K$37000,"63*")+SUMIFS('Accounting data'!$G$2:$G$37000,'Accounting data'!$H$2:$H$37000,"1500*",'Accounting data'!$I$2:$I$37000,"270*",'Accounting data'!$J$2:$J$37000,"21*",'Accounting data'!$K$2:$K$37000,"63*")</f>
        <v>37981</v>
      </c>
      <c r="G27" s="555">
        <f>SUMIFS('Accounting data'!$G$2:$G$37000,'Accounting data'!$H$2:$H$37000,"1000*",'Accounting data'!$I$2:$I$37000,"200*",'Accounting data'!$J$2:$J$37000,"21*",'Accounting data'!$K$2:$K$37000,"66*")+SUMIFS('Accounting data'!$G$2:$G$37000,'Accounting data'!$H$2:$H$37000,"1500*",'Accounting data'!$I$2:$I$37000,"200*",'Accounting data'!$J$2:$J$37000,"21*",'Accounting data'!$K$2:$K$37000,"66*")+SUMIFS('Accounting data'!$G$2:$G$37000,'Accounting data'!$H$2:$H$37000,"1000*",'Accounting data'!$I$2:$I$37000,"270*",'Accounting data'!$J$2:$J$37000,"21*",'Accounting data'!$K$2:$K$37000,"66*")+SUMIFS('Accounting data'!$G$2:$G$37000,'Accounting data'!$H$2:$H$37000,"1500*",'Accounting data'!$I$2:$I$37000,"270*",'Accounting data'!$J$2:$J$37000,"21*",'Accounting data'!$K$2:$K$37000,"66*")</f>
        <v>0</v>
      </c>
      <c r="H27" s="555">
        <f>SUMIFS('Accounting data'!$G$2:$G$37000,'Accounting data'!$H$2:$H$37000,"1000*",'Accounting data'!$I$2:$I$37000,"200*",'Accounting data'!$J$2:$J$37000,"21*",'Accounting data'!$K$2:$K$37000,"68*")+SUMIFS('Accounting data'!$G$2:$G$37000,'Accounting data'!$H$2:$H$37000,"1500*",'Accounting data'!$I$2:$I$37000,"200*",'Accounting data'!$J$2:$J$37000,"21*",'Accounting data'!$K$2:$K$37000,"68*")+SUMIFS('Accounting data'!$G$2:$G$37000,'Accounting data'!$H$2:$H$37000,"1000*",'Accounting data'!$I$2:$I$37000,"270*",'Accounting data'!$J$2:$J$37000,"21*",'Accounting data'!$K$2:$K$37000,"68*")+SUMIFS('Accounting data'!$G$2:$G$37000,'Accounting data'!$H$2:$H$37000,"1500*",'Accounting data'!$I$2:$I$37000,"270*",'Accounting data'!$J$2:$J$37000,"21*",'Accounting data'!$K$2:$K$37000,"68*")</f>
        <v>0</v>
      </c>
      <c r="I27" s="555">
        <f>[1]!SP1000P200F2100</f>
        <v>41001</v>
      </c>
      <c r="J27" s="555">
        <f>SUM(D27:H27)</f>
        <v>37981</v>
      </c>
      <c r="K27" s="555">
        <f>[2]!SP1000P200F2100</f>
        <v>28756</v>
      </c>
      <c r="L27" s="813"/>
      <c r="M27" s="66" t="s">
        <v>57</v>
      </c>
    </row>
    <row r="28" spans="1:25" ht="12" customHeight="1" x14ac:dyDescent="0.2">
      <c r="A28" s="89" t="s">
        <v>122</v>
      </c>
      <c r="C28" s="90" t="s">
        <v>59</v>
      </c>
      <c r="D28" s="551">
        <f>SUMIFS('Accounting data'!$G$2:$G$37000,'Accounting data'!$H$2:$H$37000,"1000*",'Accounting data'!$I$2:$I$37000,"200*",'Accounting data'!$J$2:$J$37000,"22*",'Accounting data'!$K$2:$K$37000,"61*")+SUMIFS('Accounting data'!$G$2:$G$37000,'Accounting data'!$H$2:$H$37000,"1500*",'Accounting data'!$I$2:$I$37000,"200*",'Accounting data'!$J$2:$J$37000,"22*",'Accounting data'!$K$2:$K$37000,"61*")+SUMIFS('Accounting data'!$G$2:$G$37000,'Accounting data'!$H$2:$H$37000,"1000*",'Accounting data'!$I$2:$I$37000,"270*",'Accounting data'!$J$2:$J$37000,"22*",'Accounting data'!$K$2:$K$37000,"61*")+SUMIFS('Accounting data'!$G$2:$G$37000,'Accounting data'!$H$2:$H$37000,"1500*",'Accounting data'!$I$2:$I$37000,"270*",'Accounting data'!$J$2:$J$37000,"22*",'Accounting data'!$K$2:$K$37000,"61*")</f>
        <v>0</v>
      </c>
      <c r="E28" s="551">
        <f>SUMIFS('Accounting data'!$G$2:$G$37000,'Accounting data'!$H$2:$H$37000,"1000*",'Accounting data'!$I$2:$I$37000,"200*",'Accounting data'!$J$2:$J$37000,"22*",'Accounting data'!$K$2:$K$37000,"62*")+SUMIFS('Accounting data'!$G$2:$G$37000,'Accounting data'!$H$2:$H$37000,"1500*",'Accounting data'!$I$2:$I$37000,"200*",'Accounting data'!$J$2:$J$37000,"22*",'Accounting data'!$K$2:$K$37000,"62*")+SUMIFS('Accounting data'!$G$2:$G$37000,'Accounting data'!$H$2:$H$37000,"1000*",'Accounting data'!$I$2:$I$37000,"270*",'Accounting data'!$J$2:$J$37000,"22*",'Accounting data'!$K$2:$K$37000,"62*")+SUMIFS('Accounting data'!$G$2:$G$37000,'Accounting data'!$H$2:$H$37000,"1500*",'Accounting data'!$I$2:$I$37000,"270*",'Accounting data'!$J$2:$J$37000,"22*",'Accounting data'!$K$2:$K$37000,"62*")</f>
        <v>0</v>
      </c>
      <c r="F28" s="551">
        <f>SUMIFS('Accounting data'!$G$2:$G$37000,'Accounting data'!$H$2:$H$37000,"1000*",'Accounting data'!$I$2:$I$37000,"200*",'Accounting data'!$J$2:$J$37000,"22*",'Accounting data'!$K$2:$K$37000,"63*")+SUMIFS('Accounting data'!$G$2:$G$37000,'Accounting data'!$H$2:$H$37000,"1500*",'Accounting data'!$I$2:$I$37000,"200*",'Accounting data'!$J$2:$J$37000,"22*",'Accounting data'!$K$2:$K$37000,"63*")+SUMIFS('Accounting data'!$G$2:$G$37000,'Accounting data'!$H$2:$H$37000,"1000*",'Accounting data'!$I$2:$I$37000,"270*",'Accounting data'!$J$2:$J$37000,"22*",'Accounting data'!$K$2:$K$37000,"63*")+SUMIFS('Accounting data'!$G$2:$G$37000,'Accounting data'!$H$2:$H$37000,"1500*",'Accounting data'!$I$2:$I$37000,"270*",'Accounting data'!$J$2:$J$37000,"22*",'Accounting data'!$K$2:$K$37000,"63*")</f>
        <v>36428</v>
      </c>
      <c r="G28" s="551">
        <f>SUMIFS('Accounting data'!$G$2:$G$37000,'Accounting data'!$H$2:$H$37000,"1000*",'Accounting data'!$I$2:$I$37000,"200*",'Accounting data'!$J$2:$J$37000,"22*",'Accounting data'!$K$2:$K$37000,"66*")+SUMIFS('Accounting data'!$G$2:$G$37000,'Accounting data'!$H$2:$H$37000,"1500*",'Accounting data'!$I$2:$I$37000,"200*",'Accounting data'!$J$2:$J$37000,"22*",'Accounting data'!$K$2:$K$37000,"66*")+SUMIFS('Accounting data'!$G$2:$G$37000,'Accounting data'!$H$2:$H$37000,"1000*",'Accounting data'!$I$2:$I$37000,"270*",'Accounting data'!$J$2:$J$37000,"22*",'Accounting data'!$K$2:$K$37000,"66*")+SUMIFS('Accounting data'!$G$2:$G$37000,'Accounting data'!$H$2:$H$37000,"1500*",'Accounting data'!$I$2:$I$37000,"270*",'Accounting data'!$J$2:$J$37000,"22*",'Accounting data'!$K$2:$K$37000,"66*")</f>
        <v>0</v>
      </c>
      <c r="H28" s="551">
        <f>SUMIFS('Accounting data'!$G$2:$G$37000,'Accounting data'!$H$2:$H$37000,"1000*",'Accounting data'!$I$2:$I$37000,"200*",'Accounting data'!$J$2:$J$37000,"22*",'Accounting data'!$K$2:$K$37000,"68*")+SUMIFS('Accounting data'!$G$2:$G$37000,'Accounting data'!$H$2:$H$37000,"1500*",'Accounting data'!$I$2:$I$37000,"200*",'Accounting data'!$J$2:$J$37000,"22*",'Accounting data'!$K$2:$K$37000,"68*")+SUMIFS('Accounting data'!$G$2:$G$37000,'Accounting data'!$H$2:$H$37000,"1000*",'Accounting data'!$I$2:$I$37000,"270*",'Accounting data'!$J$2:$J$37000,"22*",'Accounting data'!$K$2:$K$37000,"68*")+SUMIFS('Accounting data'!$G$2:$G$37000,'Accounting data'!$H$2:$H$37000,"1500*",'Accounting data'!$I$2:$I$37000,"270*",'Accounting data'!$J$2:$J$37000,"22*",'Accounting data'!$K$2:$K$37000,"68*")</f>
        <v>0</v>
      </c>
      <c r="I28" s="550">
        <f>[1]!SP1000P200F2200</f>
        <v>40209</v>
      </c>
      <c r="J28" s="552">
        <f t="shared" ref="J28:J36" si="3">SUM(D28:H28)</f>
        <v>36428</v>
      </c>
      <c r="K28" s="550">
        <f>[2]!SP1000P200F2200</f>
        <v>22508</v>
      </c>
      <c r="L28" s="553">
        <f t="shared" ref="L28:L48" si="4">IF(J28=K28,0,IF(K28&gt;0,(J28-K28)/K28,"--"))</f>
        <v>0.61839999999999995</v>
      </c>
      <c r="M28" s="66" t="s">
        <v>59</v>
      </c>
    </row>
    <row r="29" spans="1:25" ht="12" customHeight="1" x14ac:dyDescent="0.2">
      <c r="A29" s="89" t="s">
        <v>123</v>
      </c>
      <c r="C29" s="90" t="s">
        <v>61</v>
      </c>
      <c r="D29" s="551">
        <f>SUMIFS('Accounting data'!$G$2:$G$37000,'Accounting data'!$H$2:$H$37000,"1000*",'Accounting data'!$I$2:$I$37000,"200*",'Accounting data'!$J$2:$J$37000,"23*",'Accounting data'!$K$2:$K$37000,"61*")+SUMIFS('Accounting data'!$G$2:$G$37000,'Accounting data'!$H$2:$H$37000,"1500*",'Accounting data'!$I$2:$I$37000,"200*",'Accounting data'!$J$2:$J$37000,"23*",'Accounting data'!$K$2:$K$37000,"61*")+SUMIFS('Accounting data'!$G$2:$G$37000,'Accounting data'!$H$2:$H$37000,"1000*",'Accounting data'!$I$2:$I$37000,"270*",'Accounting data'!$J$2:$J$37000,"23*",'Accounting data'!$K$2:$K$37000,"61*")+SUMIFS('Accounting data'!$G$2:$G$37000,'Accounting data'!$H$2:$H$37000,"1500*",'Accounting data'!$I$2:$I$37000,"270*",'Accounting data'!$J$2:$J$37000,"23*",'Accounting data'!$K$2:$K$37000,"61*")</f>
        <v>0</v>
      </c>
      <c r="E29" s="551">
        <f>SUMIFS('Accounting data'!$G$2:$G$37000,'Accounting data'!$H$2:$H$37000,"1000*",'Accounting data'!$I$2:$I$37000,"200*",'Accounting data'!$J$2:$J$37000,"23*",'Accounting data'!$K$2:$K$37000,"62*")+SUMIFS('Accounting data'!$G$2:$G$37000,'Accounting data'!$H$2:$H$37000,"1500*",'Accounting data'!$I$2:$I$37000,"200*",'Accounting data'!$J$2:$J$37000,"23*",'Accounting data'!$K$2:$K$37000,"62*")+SUMIFS('Accounting data'!$G$2:$G$37000,'Accounting data'!$H$2:$H$37000,"1000*",'Accounting data'!$I$2:$I$37000,"270*",'Accounting data'!$J$2:$J$37000,"23*",'Accounting data'!$K$2:$K$37000,"62*")+SUMIFS('Accounting data'!$G$2:$G$37000,'Accounting data'!$H$2:$H$37000,"1500*",'Accounting data'!$I$2:$I$37000,"270*",'Accounting data'!$J$2:$J$37000,"23*",'Accounting data'!$K$2:$K$37000,"62*")</f>
        <v>0</v>
      </c>
      <c r="F29" s="551">
        <f>SUMIFS('Accounting data'!$G$2:$G$37000,'Accounting data'!$H$2:$H$37000,"1000*",'Accounting data'!$I$2:$I$37000,"200*",'Accounting data'!$J$2:$J$37000,"23*",'Accounting data'!$K$2:$K$37000,"63*")+SUMIFS('Accounting data'!$G$2:$G$37000,'Accounting data'!$H$2:$H$37000,"1500*",'Accounting data'!$I$2:$I$37000,"200*",'Accounting data'!$J$2:$J$37000,"23*",'Accounting data'!$K$2:$K$37000,"63*")+SUMIFS('Accounting data'!$G$2:$G$37000,'Accounting data'!$H$2:$H$37000,"1000*",'Accounting data'!$I$2:$I$37000,"270*",'Accounting data'!$J$2:$J$37000,"23*",'Accounting data'!$K$2:$K$37000,"63*")+SUMIFS('Accounting data'!$G$2:$G$37000,'Accounting data'!$H$2:$H$37000,"1500*",'Accounting data'!$I$2:$I$37000,"270*",'Accounting data'!$J$2:$J$37000,"23*",'Accounting data'!$K$2:$K$37000,"63*")</f>
        <v>0</v>
      </c>
      <c r="G29" s="551">
        <f>SUMIFS('Accounting data'!$G$2:$G$37000,'Accounting data'!$H$2:$H$37000,"1000*",'Accounting data'!$I$2:$I$37000,"200*",'Accounting data'!$J$2:$J$37000,"23*",'Accounting data'!$K$2:$K$37000,"66*")+SUMIFS('Accounting data'!$G$2:$G$37000,'Accounting data'!$H$2:$H$37000,"1500*",'Accounting data'!$I$2:$I$37000,"200*",'Accounting data'!$J$2:$J$37000,"23*",'Accounting data'!$K$2:$K$37000,"66*")+SUMIFS('Accounting data'!$G$2:$G$37000,'Accounting data'!$H$2:$H$37000,"1000*",'Accounting data'!$I$2:$I$37000,"270*",'Accounting data'!$J$2:$J$37000,"23*",'Accounting data'!$K$2:$K$37000,"66*")+SUMIFS('Accounting data'!$G$2:$G$37000,'Accounting data'!$H$2:$H$37000,"1500*",'Accounting data'!$I$2:$I$37000,"270*",'Accounting data'!$J$2:$J$37000,"23*",'Accounting data'!$K$2:$K$37000,"66*")</f>
        <v>0</v>
      </c>
      <c r="H29" s="551">
        <f>SUMIFS('Accounting data'!$G$2:$G$37000,'Accounting data'!$H$2:$H$37000,"1000*",'Accounting data'!$I$2:$I$37000,"200*",'Accounting data'!$J$2:$J$37000,"23*",'Accounting data'!$K$2:$K$37000,"68*")+SUMIFS('Accounting data'!$G$2:$G$37000,'Accounting data'!$H$2:$H$37000,"1500*",'Accounting data'!$I$2:$I$37000,"200*",'Accounting data'!$J$2:$J$37000,"23*",'Accounting data'!$K$2:$K$37000,"68*")+SUMIFS('Accounting data'!$G$2:$G$37000,'Accounting data'!$H$2:$H$37000,"1000*",'Accounting data'!$I$2:$I$37000,"270*",'Accounting data'!$J$2:$J$37000,"23*",'Accounting data'!$K$2:$K$37000,"68*")+SUMIFS('Accounting data'!$G$2:$G$37000,'Accounting data'!$H$2:$H$37000,"1500*",'Accounting data'!$I$2:$I$37000,"270*",'Accounting data'!$J$2:$J$37000,"23*",'Accounting data'!$K$2:$K$37000,"68*")</f>
        <v>0</v>
      </c>
      <c r="I29" s="550">
        <f>[1]!SP1000P200F2300</f>
        <v>0</v>
      </c>
      <c r="J29" s="552">
        <f t="shared" si="3"/>
        <v>0</v>
      </c>
      <c r="K29" s="550">
        <f>[2]!SP1000P200F2300</f>
        <v>0</v>
      </c>
      <c r="L29" s="553">
        <f t="shared" si="4"/>
        <v>0</v>
      </c>
      <c r="M29" s="66" t="s">
        <v>61</v>
      </c>
    </row>
    <row r="30" spans="1:25" ht="12" customHeight="1" x14ac:dyDescent="0.2">
      <c r="A30" s="89" t="s">
        <v>124</v>
      </c>
      <c r="C30" s="90" t="s">
        <v>63</v>
      </c>
      <c r="D30" s="551">
        <f>SUMIFS('Accounting data'!$G$2:$G$37000,'Accounting data'!$H$2:$H$37000,"1000*",'Accounting data'!$I$2:$I$37000,"200*",'Accounting data'!$J$2:$J$37000,"24*",'Accounting data'!$K$2:$K$37000,"61*")+SUMIFS('Accounting data'!$G$2:$G$37000,'Accounting data'!$H$2:$H$37000,"1500*",'Accounting data'!$I$2:$I$37000,"200*",'Accounting data'!$J$2:$J$37000,"24*",'Accounting data'!$K$2:$K$37000,"61*")+SUMIFS('Accounting data'!$G$2:$G$37000,'Accounting data'!$H$2:$H$37000,"1000*",'Accounting data'!$I$2:$I$37000,"270*",'Accounting data'!$J$2:$J$37000,"24*",'Accounting data'!$K$2:$K$37000,"61*")+SUMIFS('Accounting data'!$G$2:$G$37000,'Accounting data'!$H$2:$H$37000,"1500*",'Accounting data'!$I$2:$I$37000,"270*",'Accounting data'!$J$2:$J$37000,"24*",'Accounting data'!$K$2:$K$37000,"61*")</f>
        <v>0</v>
      </c>
      <c r="E30" s="551">
        <f>SUMIFS('Accounting data'!$G$2:$G$37000,'Accounting data'!$H$2:$H$37000,"1000*",'Accounting data'!$I$2:$I$37000,"200*",'Accounting data'!$J$2:$J$37000,"24*",'Accounting data'!$K$2:$K$37000,"62*")+SUMIFS('Accounting data'!$G$2:$G$37000,'Accounting data'!$H$2:$H$37000,"1500*",'Accounting data'!$I$2:$I$37000,"200*",'Accounting data'!$J$2:$J$37000,"24*",'Accounting data'!$K$2:$K$37000,"62*")+SUMIFS('Accounting data'!$G$2:$G$37000,'Accounting data'!$H$2:$H$37000,"1000*",'Accounting data'!$I$2:$I$37000,"270*",'Accounting data'!$J$2:$J$37000,"24*",'Accounting data'!$K$2:$K$37000,"62*")+SUMIFS('Accounting data'!$G$2:$G$37000,'Accounting data'!$H$2:$H$37000,"1500*",'Accounting data'!$I$2:$I$37000,"270*",'Accounting data'!$J$2:$J$37000,"24*",'Accounting data'!$K$2:$K$37000,"62*")</f>
        <v>0</v>
      </c>
      <c r="F30" s="551">
        <f>SUMIFS('Accounting data'!$G$2:$G$37000,'Accounting data'!$H$2:$H$37000,"1000*",'Accounting data'!$I$2:$I$37000,"200*",'Accounting data'!$J$2:$J$37000,"24*",'Accounting data'!$K$2:$K$37000,"63*")+SUMIFS('Accounting data'!$G$2:$G$37000,'Accounting data'!$H$2:$H$37000,"1500*",'Accounting data'!$I$2:$I$37000,"200*",'Accounting data'!$J$2:$J$37000,"24*",'Accounting data'!$K$2:$K$37000,"63*")+SUMIFS('Accounting data'!$G$2:$G$37000,'Accounting data'!$H$2:$H$37000,"1000*",'Accounting data'!$I$2:$I$37000,"270*",'Accounting data'!$J$2:$J$37000,"24*",'Accounting data'!$K$2:$K$37000,"63*")+SUMIFS('Accounting data'!$G$2:$G$37000,'Accounting data'!$H$2:$H$37000,"1500*",'Accounting data'!$I$2:$I$37000,"270*",'Accounting data'!$J$2:$J$37000,"24*",'Accounting data'!$K$2:$K$37000,"63*")</f>
        <v>0</v>
      </c>
      <c r="G30" s="551">
        <f>SUMIFS('Accounting data'!$G$2:$G$37000,'Accounting data'!$H$2:$H$37000,"1000*",'Accounting data'!$I$2:$I$37000,"200*",'Accounting data'!$J$2:$J$37000,"24*",'Accounting data'!$K$2:$K$37000,"66*")+SUMIFS('Accounting data'!$G$2:$G$37000,'Accounting data'!$H$2:$H$37000,"1500*",'Accounting data'!$I$2:$I$37000,"200*",'Accounting data'!$J$2:$J$37000,"24*",'Accounting data'!$K$2:$K$37000,"66*")+SUMIFS('Accounting data'!$G$2:$G$37000,'Accounting data'!$H$2:$H$37000,"1000*",'Accounting data'!$I$2:$I$37000,"270*",'Accounting data'!$J$2:$J$37000,"24*",'Accounting data'!$K$2:$K$37000,"66*")+SUMIFS('Accounting data'!$G$2:$G$37000,'Accounting data'!$H$2:$H$37000,"1500*",'Accounting data'!$I$2:$I$37000,"270*",'Accounting data'!$J$2:$J$37000,"24*",'Accounting data'!$K$2:$K$37000,"66*")</f>
        <v>0</v>
      </c>
      <c r="H30" s="551">
        <f>SUMIFS('Accounting data'!$G$2:$G$37000,'Accounting data'!$H$2:$H$37000,"1000*",'Accounting data'!$I$2:$I$37000,"200*",'Accounting data'!$J$2:$J$37000,"24*",'Accounting data'!$K$2:$K$37000,"68*")+SUMIFS('Accounting data'!$G$2:$G$37000,'Accounting data'!$H$2:$H$37000,"1500*",'Accounting data'!$I$2:$I$37000,"200*",'Accounting data'!$J$2:$J$37000,"24*",'Accounting data'!$K$2:$K$37000,"68*")+SUMIFS('Accounting data'!$G$2:$G$37000,'Accounting data'!$H$2:$H$37000,"1000*",'Accounting data'!$I$2:$I$37000,"270*",'Accounting data'!$J$2:$J$37000,"24*",'Accounting data'!$K$2:$K$37000,"68*")+SUMIFS('Accounting data'!$G$2:$G$37000,'Accounting data'!$H$2:$H$37000,"1500*",'Accounting data'!$I$2:$I$37000,"270*",'Accounting data'!$J$2:$J$37000,"24*",'Accounting data'!$K$2:$K$37000,"68*")</f>
        <v>0</v>
      </c>
      <c r="I30" s="550">
        <f>[1]!SP1000P200F2400</f>
        <v>0</v>
      </c>
      <c r="J30" s="552">
        <f t="shared" si="3"/>
        <v>0</v>
      </c>
      <c r="K30" s="550">
        <f>[2]!SP1000P200F2400</f>
        <v>0</v>
      </c>
      <c r="L30" s="553">
        <f t="shared" si="4"/>
        <v>0</v>
      </c>
      <c r="M30" s="66" t="s">
        <v>63</v>
      </c>
    </row>
    <row r="31" spans="1:25" ht="12" customHeight="1" x14ac:dyDescent="0.2">
      <c r="A31" s="89" t="s">
        <v>125</v>
      </c>
      <c r="C31" s="90" t="s">
        <v>65</v>
      </c>
      <c r="D31" s="551">
        <f>SUMIFS('Accounting data'!$G$2:$G$37000,'Accounting data'!$H$2:$H$37000,"1000*",'Accounting data'!$I$2:$I$37000,"200*",'Accounting data'!$J$2:$J$37000,"25*",'Accounting data'!$K$2:$K$37000,"61*")+SUMIFS('Accounting data'!$G$2:$G$37000,'Accounting data'!$H$2:$H$37000,"1500*",'Accounting data'!$I$2:$I$37000,"200*",'Accounting data'!$J$2:$J$37000,"25*",'Accounting data'!$K$2:$K$37000,"61*")+SUMIFS('Accounting data'!$G$2:$G$37000,'Accounting data'!$H$2:$H$37000,"1000*",'Accounting data'!$I$2:$I$37000,"270*",'Accounting data'!$J$2:$J$37000,"25*",'Accounting data'!$K$2:$K$37000,"61*")+SUMIFS('Accounting data'!$G$2:$G$37000,'Accounting data'!$H$2:$H$37000,"1500*",'Accounting data'!$I$2:$I$37000,"270*",'Accounting data'!$J$2:$J$37000,"25*",'Accounting data'!$K$2:$K$37000,"61*")</f>
        <v>0</v>
      </c>
      <c r="E31" s="551">
        <f>SUMIFS('Accounting data'!$G$2:$G$37000,'Accounting data'!$H$2:$H$37000,"1000*",'Accounting data'!$I$2:$I$37000,"200*",'Accounting data'!$J$2:$J$37000,"25*",'Accounting data'!$K$2:$K$37000,"62*")+SUMIFS('Accounting data'!$G$2:$G$37000,'Accounting data'!$H$2:$H$37000,"1500*",'Accounting data'!$I$2:$I$37000,"200*",'Accounting data'!$J$2:$J$37000,"25*",'Accounting data'!$K$2:$K$37000,"62*")+SUMIFS('Accounting data'!$G$2:$G$37000,'Accounting data'!$H$2:$H$37000,"1000*",'Accounting data'!$I$2:$I$37000,"270*",'Accounting data'!$J$2:$J$37000,"25*",'Accounting data'!$K$2:$K$37000,"62*")+SUMIFS('Accounting data'!$G$2:$G$37000,'Accounting data'!$H$2:$H$37000,"1500*",'Accounting data'!$I$2:$I$37000,"270*",'Accounting data'!$J$2:$J$37000,"25*",'Accounting data'!$K$2:$K$37000,"62*")</f>
        <v>0</v>
      </c>
      <c r="F31" s="551">
        <f>SUMIFS('Accounting data'!$G$2:$G$37000,'Accounting data'!$H$2:$H$37000,"1000*",'Accounting data'!$I$2:$I$37000,"200*",'Accounting data'!$J$2:$J$37000,"25*",'Accounting data'!$K$2:$K$37000,"63*")+SUMIFS('Accounting data'!$G$2:$G$37000,'Accounting data'!$H$2:$H$37000,"1500*",'Accounting data'!$I$2:$I$37000,"200*",'Accounting data'!$J$2:$J$37000,"25*",'Accounting data'!$K$2:$K$37000,"63*")+SUMIFS('Accounting data'!$G$2:$G$37000,'Accounting data'!$H$2:$H$37000,"1000*",'Accounting data'!$I$2:$I$37000,"270*",'Accounting data'!$J$2:$J$37000,"25*",'Accounting data'!$K$2:$K$37000,"63*")+SUMIFS('Accounting data'!$G$2:$G$37000,'Accounting data'!$H$2:$H$37000,"1500*",'Accounting data'!$I$2:$I$37000,"270*",'Accounting data'!$J$2:$J$37000,"25*",'Accounting data'!$K$2:$K$37000,"63*")</f>
        <v>0</v>
      </c>
      <c r="G31" s="551">
        <f>SUMIFS('Accounting data'!$G$2:$G$37000,'Accounting data'!$H$2:$H$37000,"1000*",'Accounting data'!$I$2:$I$37000,"200*",'Accounting data'!$J$2:$J$37000,"25*",'Accounting data'!$K$2:$K$37000,"66*")+SUMIFS('Accounting data'!$G$2:$G$37000,'Accounting data'!$H$2:$H$37000,"1500*",'Accounting data'!$I$2:$I$37000,"200*",'Accounting data'!$J$2:$J$37000,"25*",'Accounting data'!$K$2:$K$37000,"66*")+SUMIFS('Accounting data'!$G$2:$G$37000,'Accounting data'!$H$2:$H$37000,"1000*",'Accounting data'!$I$2:$I$37000,"270*",'Accounting data'!$J$2:$J$37000,"25*",'Accounting data'!$K$2:$K$37000,"66*")+SUMIFS('Accounting data'!$G$2:$G$37000,'Accounting data'!$H$2:$H$37000,"1500*",'Accounting data'!$I$2:$I$37000,"270*",'Accounting data'!$J$2:$J$37000,"25*",'Accounting data'!$K$2:$K$37000,"66*")</f>
        <v>0</v>
      </c>
      <c r="H31" s="551">
        <f>SUMIFS('Accounting data'!$G$2:$G$37000,'Accounting data'!$H$2:$H$37000,"1000*",'Accounting data'!$I$2:$I$37000,"200*",'Accounting data'!$J$2:$J$37000,"25*",'Accounting data'!$K$2:$K$37000,"68*")+SUMIFS('Accounting data'!$G$2:$G$37000,'Accounting data'!$H$2:$H$37000,"1500*",'Accounting data'!$I$2:$I$37000,"200*",'Accounting data'!$J$2:$J$37000,"25*",'Accounting data'!$K$2:$K$37000,"68*")+SUMIFS('Accounting data'!$G$2:$G$37000,'Accounting data'!$H$2:$H$37000,"1000*",'Accounting data'!$I$2:$I$37000,"270*",'Accounting data'!$J$2:$J$37000,"25*",'Accounting data'!$K$2:$K$37000,"68*")+SUMIFS('Accounting data'!$G$2:$G$37000,'Accounting data'!$H$2:$H$37000,"1500*",'Accounting data'!$I$2:$I$37000,"270*",'Accounting data'!$J$2:$J$37000,"25*",'Accounting data'!$K$2:$K$37000,"68*")</f>
        <v>0</v>
      </c>
      <c r="I31" s="550">
        <f>[1]!SP1000P200F2500</f>
        <v>0</v>
      </c>
      <c r="J31" s="552">
        <f t="shared" si="3"/>
        <v>0</v>
      </c>
      <c r="K31" s="550">
        <f>[2]!SP1000P200F2500</f>
        <v>0</v>
      </c>
      <c r="L31" s="553">
        <f t="shared" si="4"/>
        <v>0</v>
      </c>
      <c r="M31" s="66" t="s">
        <v>65</v>
      </c>
    </row>
    <row r="32" spans="1:25" ht="12" customHeight="1" x14ac:dyDescent="0.2">
      <c r="A32" s="89" t="s">
        <v>126</v>
      </c>
      <c r="C32" s="90" t="s">
        <v>67</v>
      </c>
      <c r="D32" s="551">
        <f>SUMIFS('Accounting data'!$G$2:$G$37000,'Accounting data'!$H$2:$H$37000,"1000*",'Accounting data'!$I$2:$I$37000,"200*",'Accounting data'!$J$2:$J$37000,"26*",'Accounting data'!$K$2:$K$37000,"61*")+SUMIFS('Accounting data'!$G$2:$G$37000,'Accounting data'!$H$2:$H$37000,"1500*",'Accounting data'!$I$2:$I$37000,"200*",'Accounting data'!$J$2:$J$37000,"26*",'Accounting data'!$K$2:$K$37000,"61*")+SUMIFS('Accounting data'!$G$2:$G$37000,'Accounting data'!$H$2:$H$37000,"1000*",'Accounting data'!$I$2:$I$37000,"270*",'Accounting data'!$J$2:$J$37000,"26*",'Accounting data'!$K$2:$K$37000,"61*")+SUMIFS('Accounting data'!$G$2:$G$37000,'Accounting data'!$H$2:$H$37000,"1500*",'Accounting data'!$I$2:$I$37000,"270*",'Accounting data'!$J$2:$J$37000,"26*",'Accounting data'!$K$2:$K$37000,"61*")</f>
        <v>0</v>
      </c>
      <c r="E32" s="551">
        <f>SUMIFS('Accounting data'!$G$2:$G$37000,'Accounting data'!$H$2:$H$37000,"1000*",'Accounting data'!$I$2:$I$37000,"200*",'Accounting data'!$J$2:$J$37000,"26*",'Accounting data'!$K$2:$K$37000,"62*")+SUMIFS('Accounting data'!$G$2:$G$37000,'Accounting data'!$H$2:$H$37000,"1500*",'Accounting data'!$I$2:$I$37000,"200*",'Accounting data'!$J$2:$J$37000,"26*",'Accounting data'!$K$2:$K$37000,"62*")+SUMIFS('Accounting data'!$G$2:$G$37000,'Accounting data'!$H$2:$H$37000,"1000*",'Accounting data'!$I$2:$I$37000,"270*",'Accounting data'!$J$2:$J$37000,"26*",'Accounting data'!$K$2:$K$37000,"62*")+SUMIFS('Accounting data'!$G$2:$G$37000,'Accounting data'!$H$2:$H$37000,"1500*",'Accounting data'!$I$2:$I$37000,"270*",'Accounting data'!$J$2:$J$37000,"26*",'Accounting data'!$K$2:$K$37000,"62*")</f>
        <v>0</v>
      </c>
      <c r="F32" s="551">
        <f>SUMIFS('Accounting data'!$G$2:$G$37000,'Accounting data'!$H$2:$H$37000,"1000*",'Accounting data'!$I$2:$I$37000,"200*",'Accounting data'!$J$2:$J$37000,"26*",'Accounting data'!$K$2:$K$37000,"63*")+SUMIFS('Accounting data'!$G$2:$G$37000,'Accounting data'!$H$2:$H$37000,"1500*",'Accounting data'!$I$2:$I$37000,"200*",'Accounting data'!$J$2:$J$37000,"26*",'Accounting data'!$K$2:$K$37000,"63*")+SUMIFS('Accounting data'!$G$2:$G$37000,'Accounting data'!$H$2:$H$37000,"1000*",'Accounting data'!$I$2:$I$37000,"270*",'Accounting data'!$J$2:$J$37000,"26*",'Accounting data'!$K$2:$K$37000,"63*")+SUMIFS('Accounting data'!$G$2:$G$37000,'Accounting data'!$H$2:$H$37000,"1500*",'Accounting data'!$I$2:$I$37000,"270*",'Accounting data'!$J$2:$J$37000,"26*",'Accounting data'!$K$2:$K$37000,"63*")</f>
        <v>0</v>
      </c>
      <c r="G32" s="551">
        <f>SUMIFS('Accounting data'!$G$2:$G$37000,'Accounting data'!$H$2:$H$37000,"1000*",'Accounting data'!$I$2:$I$37000,"200*",'Accounting data'!$J$2:$J$37000,"26*",'Accounting data'!$K$2:$K$37000,"66*")+SUMIFS('Accounting data'!$G$2:$G$37000,'Accounting data'!$H$2:$H$37000,"1500*",'Accounting data'!$I$2:$I$37000,"200*",'Accounting data'!$J$2:$J$37000,"26*",'Accounting data'!$K$2:$K$37000,"66*")+SUMIFS('Accounting data'!$G$2:$G$37000,'Accounting data'!$H$2:$H$37000,"1000*",'Accounting data'!$I$2:$I$37000,"270*",'Accounting data'!$J$2:$J$37000,"26*",'Accounting data'!$K$2:$K$37000,"66*")+SUMIFS('Accounting data'!$G$2:$G$37000,'Accounting data'!$H$2:$H$37000,"1500*",'Accounting data'!$I$2:$I$37000,"270*",'Accounting data'!$J$2:$J$37000,"26*",'Accounting data'!$K$2:$K$37000,"66*")</f>
        <v>0</v>
      </c>
      <c r="H32" s="551">
        <f>SUMIFS('Accounting data'!$G$2:$G$37000,'Accounting data'!$H$2:$H$37000,"1000*",'Accounting data'!$I$2:$I$37000,"200*",'Accounting data'!$J$2:$J$37000,"26*",'Accounting data'!$K$2:$K$37000,"68*")+SUMIFS('Accounting data'!$G$2:$G$37000,'Accounting data'!$H$2:$H$37000,"1500*",'Accounting data'!$I$2:$I$37000,"200*",'Accounting data'!$J$2:$J$37000,"26*",'Accounting data'!$K$2:$K$37000,"68*")+SUMIFS('Accounting data'!$G$2:$G$37000,'Accounting data'!$H$2:$H$37000,"1000*",'Accounting data'!$I$2:$I$37000,"270*",'Accounting data'!$J$2:$J$37000,"26*",'Accounting data'!$K$2:$K$37000,"68*")+SUMIFS('Accounting data'!$G$2:$G$37000,'Accounting data'!$H$2:$H$37000,"1500*",'Accounting data'!$I$2:$I$37000,"270*",'Accounting data'!$J$2:$J$37000,"26*",'Accounting data'!$K$2:$K$37000,"68*")</f>
        <v>0</v>
      </c>
      <c r="I32" s="550">
        <f>[1]!SP1000P200F2600</f>
        <v>0</v>
      </c>
      <c r="J32" s="552">
        <f t="shared" si="3"/>
        <v>0</v>
      </c>
      <c r="K32" s="550">
        <f>[2]!SP1000P200F2600</f>
        <v>0</v>
      </c>
      <c r="L32" s="553">
        <f t="shared" si="4"/>
        <v>0</v>
      </c>
      <c r="M32" s="66" t="s">
        <v>67</v>
      </c>
    </row>
    <row r="33" spans="1:13" ht="12" customHeight="1" x14ac:dyDescent="0.2">
      <c r="A33" s="89" t="s">
        <v>127</v>
      </c>
      <c r="C33" s="90" t="s">
        <v>69</v>
      </c>
      <c r="D33" s="551">
        <f>SUMIFS('Accounting data'!$G$2:$G$37000,'Accounting data'!$H$2:$H$37000,"1000*",'Accounting data'!$I$2:$I$37000,"200*",'Accounting data'!$J$2:$J$37000,"29*",'Accounting data'!$K$2:$K$37000,"61*")+SUMIFS('Accounting data'!$G$2:$G$37000,'Accounting data'!$H$2:$H$37000,"1500*",'Accounting data'!$I$2:$I$37000,"200*",'Accounting data'!$J$2:$J$37000,"29*",'Accounting data'!$K$2:$K$37000,"61*")+SUMIFS('Accounting data'!$G$2:$G$37000,'Accounting data'!$H$2:$H$37000,"1000*",'Accounting data'!$I$2:$I$37000,"270*",'Accounting data'!$J$2:$J$37000,"29*",'Accounting data'!$K$2:$K$37000,"61*")+SUMIFS('Accounting data'!$G$2:$G$37000,'Accounting data'!$H$2:$H$37000,"1500*",'Accounting data'!$I$2:$I$37000,"270*",'Accounting data'!$J$2:$J$37000,"29*",'Accounting data'!$K$2:$K$37000,"61*")</f>
        <v>0</v>
      </c>
      <c r="E33" s="551">
        <f>SUMIFS('Accounting data'!$G$2:$G$37000,'Accounting data'!$H$2:$H$37000,"1000*",'Accounting data'!$I$2:$I$37000,"200*",'Accounting data'!$J$2:$J$37000,"29*",'Accounting data'!$K$2:$K$37000,"62*")+SUMIFS('Accounting data'!$G$2:$G$37000,'Accounting data'!$H$2:$H$37000,"1500*",'Accounting data'!$I$2:$I$37000,"200*",'Accounting data'!$J$2:$J$37000,"29*",'Accounting data'!$K$2:$K$37000,"62*")+SUMIFS('Accounting data'!$G$2:$G$37000,'Accounting data'!$H$2:$H$37000,"1000*",'Accounting data'!$I$2:$I$37000,"270*",'Accounting data'!$J$2:$J$37000,"29*",'Accounting data'!$K$2:$K$37000,"62*")+SUMIFS('Accounting data'!$G$2:$G$37000,'Accounting data'!$H$2:$H$37000,"1500*",'Accounting data'!$I$2:$I$37000,"270*",'Accounting data'!$J$2:$J$37000,"29*",'Accounting data'!$K$2:$K$37000,"62*")</f>
        <v>0</v>
      </c>
      <c r="F33" s="551">
        <f>SUMIFS('Accounting data'!$G$2:$G$37000,'Accounting data'!$H$2:$H$37000,"1000*",'Accounting data'!$I$2:$I$37000,"200*",'Accounting data'!$J$2:$J$37000,"29*",'Accounting data'!$K$2:$K$37000,"63*")+SUMIFS('Accounting data'!$G$2:$G$37000,'Accounting data'!$H$2:$H$37000,"1500*",'Accounting data'!$I$2:$I$37000,"200*",'Accounting data'!$J$2:$J$37000,"29*",'Accounting data'!$K$2:$K$37000,"63*")+SUMIFS('Accounting data'!$G$2:$G$37000,'Accounting data'!$H$2:$H$37000,"1000*",'Accounting data'!$I$2:$I$37000,"270*",'Accounting data'!$J$2:$J$37000,"29*",'Accounting data'!$K$2:$K$37000,"63*")+SUMIFS('Accounting data'!$G$2:$G$37000,'Accounting data'!$H$2:$H$37000,"1500*",'Accounting data'!$I$2:$I$37000,"270*",'Accounting data'!$J$2:$J$37000,"29*",'Accounting data'!$K$2:$K$37000,"63*")</f>
        <v>0</v>
      </c>
      <c r="G33" s="551">
        <f>SUMIFS('Accounting data'!$G$2:$G$37000,'Accounting data'!$H$2:$H$37000,"1000*",'Accounting data'!$I$2:$I$37000,"200*",'Accounting data'!$J$2:$J$37000,"29*",'Accounting data'!$K$2:$K$37000,"66*")+SUMIFS('Accounting data'!$G$2:$G$37000,'Accounting data'!$H$2:$H$37000,"1500*",'Accounting data'!$I$2:$I$37000,"200*",'Accounting data'!$J$2:$J$37000,"29*",'Accounting data'!$K$2:$K$37000,"66*")+SUMIFS('Accounting data'!$G$2:$G$37000,'Accounting data'!$H$2:$H$37000,"1000*",'Accounting data'!$I$2:$I$37000,"270*",'Accounting data'!$J$2:$J$37000,"29*",'Accounting data'!$K$2:$K$37000,"66*")+SUMIFS('Accounting data'!$G$2:$G$37000,'Accounting data'!$H$2:$H$37000,"1500*",'Accounting data'!$I$2:$I$37000,"270*",'Accounting data'!$J$2:$J$37000,"29*",'Accounting data'!$K$2:$K$37000,"66*")</f>
        <v>0</v>
      </c>
      <c r="H33" s="551">
        <f>SUMIFS('Accounting data'!$G$2:$G$37000,'Accounting data'!$H$2:$H$37000,"1000*",'Accounting data'!$I$2:$I$37000,"200*",'Accounting data'!$J$2:$J$37000,"29*",'Accounting data'!$K$2:$K$37000,"68*")+SUMIFS('Accounting data'!$G$2:$G$37000,'Accounting data'!$H$2:$H$37000,"1500*",'Accounting data'!$I$2:$I$37000,"200*",'Accounting data'!$J$2:$J$37000,"29*",'Accounting data'!$K$2:$K$37000,"68*")+SUMIFS('Accounting data'!$G$2:$G$37000,'Accounting data'!$H$2:$H$37000,"1000*",'Accounting data'!$I$2:$I$37000,"270*",'Accounting data'!$J$2:$J$37000,"29*",'Accounting data'!$K$2:$K$37000,"68*")+SUMIFS('Accounting data'!$G$2:$G$37000,'Accounting data'!$H$2:$H$37000,"1500*",'Accounting data'!$I$2:$I$37000,"270*",'Accounting data'!$J$2:$J$37000,"29*",'Accounting data'!$K$2:$K$37000,"68*")</f>
        <v>0</v>
      </c>
      <c r="I33" s="550">
        <f>[1]!SP1000P200F2900</f>
        <v>0</v>
      </c>
      <c r="J33" s="552">
        <f t="shared" si="3"/>
        <v>0</v>
      </c>
      <c r="K33" s="550">
        <f>[2]!SP1000P200F2900</f>
        <v>0</v>
      </c>
      <c r="L33" s="553">
        <f t="shared" si="4"/>
        <v>0</v>
      </c>
      <c r="M33" s="66" t="s">
        <v>69</v>
      </c>
    </row>
    <row r="34" spans="1:13" ht="12" customHeight="1" x14ac:dyDescent="0.2">
      <c r="A34" s="89" t="s">
        <v>128</v>
      </c>
      <c r="C34" s="90" t="s">
        <v>71</v>
      </c>
      <c r="D34" s="551">
        <f>SUMIFS('Accounting data'!$G$2:$G$37000,'Accounting data'!$H$2:$H$37000,"1000*",'Accounting data'!$I$2:$I$37000,"200*",'Accounting data'!$J$2:$J$37000,"3*",'Accounting data'!$K$2:$K$37000,"61*")+SUMIFS('Accounting data'!$G$2:$G$37000,'Accounting data'!$H$2:$H$37000,"1500*",'Accounting data'!$I$2:$I$37000,"200*",'Accounting data'!$J$2:$J$37000,"3*",'Accounting data'!$K$2:$K$37000,"61*")+SUMIFS('Accounting data'!$G$2:$G$37000,'Accounting data'!$H$2:$H$37000,"1000*",'Accounting data'!$I$2:$I$37000,"270*",'Accounting data'!$J$2:$J$37000,"3*",'Accounting data'!$K$2:$K$37000,"61*")+SUMIFS('Accounting data'!$G$2:$G$37000,'Accounting data'!$H$2:$H$37000,"1500*",'Accounting data'!$I$2:$I$37000,"270*",'Accounting data'!$J$2:$J$37000,"3*",'Accounting data'!$K$2:$K$37000,"61*")</f>
        <v>0</v>
      </c>
      <c r="E34" s="551">
        <f>SUMIFS('Accounting data'!$G$2:$G$37000,'Accounting data'!$H$2:$H$37000,"1000*",'Accounting data'!$I$2:$I$37000,"200*",'Accounting data'!$J$2:$J$37000,"3*",'Accounting data'!$K$2:$K$37000,"62*")+SUMIFS('Accounting data'!$G$2:$G$37000,'Accounting data'!$H$2:$H$37000,"1500*",'Accounting data'!$I$2:$I$37000,"200*",'Accounting data'!$J$2:$J$37000,"3*",'Accounting data'!$K$2:$K$37000,"62*")+SUMIFS('Accounting data'!$G$2:$G$37000,'Accounting data'!$H$2:$H$37000,"1000*",'Accounting data'!$I$2:$I$37000,"270*",'Accounting data'!$J$2:$J$37000,"3*",'Accounting data'!$K$2:$K$37000,"62*")+SUMIFS('Accounting data'!$G$2:$G$37000,'Accounting data'!$H$2:$H$37000,"1500*",'Accounting data'!$I$2:$I$37000,"270*",'Accounting data'!$J$2:$J$37000,"3*",'Accounting data'!$K$2:$K$37000,"62*")</f>
        <v>0</v>
      </c>
      <c r="F34" s="551">
        <f>SUMIFS('Accounting data'!$G$2:$G$37000,'Accounting data'!$H$2:$H$37000,"1000*",'Accounting data'!$I$2:$I$37000,"200*",'Accounting data'!$J$2:$J$37000,"3*",'Accounting data'!$K$2:$K$37000,"63*")+SUMIFS('Accounting data'!$G$2:$G$37000,'Accounting data'!$H$2:$H$37000,"1500*",'Accounting data'!$I$2:$I$37000,"200*",'Accounting data'!$J$2:$J$37000,"3*",'Accounting data'!$K$2:$K$37000,"63*")+SUMIFS('Accounting data'!$G$2:$G$37000,'Accounting data'!$H$2:$H$37000,"1000*",'Accounting data'!$I$2:$I$37000,"270*",'Accounting data'!$J$2:$J$37000,"3*",'Accounting data'!$K$2:$K$37000,"63*")+SUMIFS('Accounting data'!$G$2:$G$37000,'Accounting data'!$H$2:$H$37000,"1500*",'Accounting data'!$I$2:$I$37000,"270*",'Accounting data'!$J$2:$J$37000,"3*",'Accounting data'!$K$2:$K$37000,"63*")</f>
        <v>0</v>
      </c>
      <c r="G34" s="551">
        <f>SUMIFS('Accounting data'!$G$2:$G$37000,'Accounting data'!$H$2:$H$37000,"1000*",'Accounting data'!$I$2:$I$37000,"200*",'Accounting data'!$J$2:$J$37000,"3*",'Accounting data'!$K$2:$K$37000,"66*")+SUMIFS('Accounting data'!$G$2:$G$37000,'Accounting data'!$H$2:$H$37000,"1500*",'Accounting data'!$I$2:$I$37000,"200*",'Accounting data'!$J$2:$J$37000,"3*",'Accounting data'!$K$2:$K$37000,"66*")+SUMIFS('Accounting data'!$G$2:$G$37000,'Accounting data'!$H$2:$H$37000,"1000*",'Accounting data'!$I$2:$I$37000,"270*",'Accounting data'!$J$2:$J$37000,"3*",'Accounting data'!$K$2:$K$37000,"66*")+SUMIFS('Accounting data'!$G$2:$G$37000,'Accounting data'!$H$2:$H$37000,"1500*",'Accounting data'!$I$2:$I$37000,"270*",'Accounting data'!$J$2:$J$37000,"3*",'Accounting data'!$K$2:$K$37000,"66*")</f>
        <v>0</v>
      </c>
      <c r="H34" s="551">
        <f>SUMIFS('Accounting data'!$G$2:$G$37000,'Accounting data'!$H$2:$H$37000,"1000*",'Accounting data'!$I$2:$I$37000,"200*",'Accounting data'!$J$2:$J$37000,"3*",'Accounting data'!$K$2:$K$37000,"68*")+SUMIFS('Accounting data'!$G$2:$G$37000,'Accounting data'!$H$2:$H$37000,"1500*",'Accounting data'!$I$2:$I$37000,"200*",'Accounting data'!$J$2:$J$37000,"3*",'Accounting data'!$K$2:$K$37000,"68*")+SUMIFS('Accounting data'!$G$2:$G$37000,'Accounting data'!$H$2:$H$37000,"1000*",'Accounting data'!$I$2:$I$37000,"270*",'Accounting data'!$J$2:$J$37000,"3*",'Accounting data'!$K$2:$K$37000,"68*")+SUMIFS('Accounting data'!$G$2:$G$37000,'Accounting data'!$H$2:$H$37000,"1500*",'Accounting data'!$I$2:$I$37000,"270*",'Accounting data'!$J$2:$J$37000,"3*",'Accounting data'!$K$2:$K$37000,"68*")</f>
        <v>0</v>
      </c>
      <c r="I34" s="550">
        <f>[1]!SP1000P200F3000</f>
        <v>0</v>
      </c>
      <c r="J34" s="552">
        <f t="shared" si="3"/>
        <v>0</v>
      </c>
      <c r="K34" s="550">
        <f>[2]!SP1000P200F3000</f>
        <v>0</v>
      </c>
      <c r="L34" s="553">
        <f t="shared" si="4"/>
        <v>0</v>
      </c>
      <c r="M34" s="66" t="s">
        <v>71</v>
      </c>
    </row>
    <row r="35" spans="1:13" ht="12" customHeight="1" x14ac:dyDescent="0.2">
      <c r="A35" s="89" t="s">
        <v>129</v>
      </c>
      <c r="C35" s="90" t="s">
        <v>73</v>
      </c>
      <c r="D35" s="551">
        <f>SUMIFS('Accounting data'!$G$2:$G$37000,'Accounting data'!$H$2:$H$37000,"1000*",'Accounting data'!$I$2:$I$37000,"200*",'Accounting data'!$J$2:$J$37000,"4*",'Accounting data'!$K$2:$K$37000,"61*")+SUMIFS('Accounting data'!$G$2:$G$37000,'Accounting data'!$H$2:$H$37000,"1500*",'Accounting data'!$I$2:$I$37000,"200*",'Accounting data'!$J$2:$J$37000,"4*",'Accounting data'!$K$2:$K$37000,"61*")+SUMIFS('Accounting data'!$G$2:$G$37000,'Accounting data'!$H$2:$H$37000,"1000*",'Accounting data'!$I$2:$I$37000,"270*",'Accounting data'!$J$2:$J$37000,"4*",'Accounting data'!$K$2:$K$37000,"61*")+SUMIFS('Accounting data'!$G$2:$G$37000,'Accounting data'!$H$2:$H$37000,"1500*",'Accounting data'!$I$2:$I$37000,"270*",'Accounting data'!$J$2:$J$37000,"4*",'Accounting data'!$K$2:$K$37000,"61*")</f>
        <v>0</v>
      </c>
      <c r="E35" s="551">
        <f>SUMIFS('Accounting data'!$G$2:$G$37000,'Accounting data'!$H$2:$H$37000,"1000*",'Accounting data'!$I$2:$I$37000,"200*",'Accounting data'!$J$2:$J$37000,"4*",'Accounting data'!$K$2:$K$37000,"62*")+SUMIFS('Accounting data'!$G$2:$G$37000,'Accounting data'!$H$2:$H$37000,"1500*",'Accounting data'!$I$2:$I$37000,"200*",'Accounting data'!$J$2:$J$37000,"4*",'Accounting data'!$K$2:$K$37000,"62*")+SUMIFS('Accounting data'!$G$2:$G$37000,'Accounting data'!$H$2:$H$37000,"1000*",'Accounting data'!$I$2:$I$37000,"270*",'Accounting data'!$J$2:$J$37000,"4*",'Accounting data'!$K$2:$K$37000,"62*")+SUMIFS('Accounting data'!$G$2:$G$37000,'Accounting data'!$H$2:$H$37000,"1500*",'Accounting data'!$I$2:$I$37000,"270*",'Accounting data'!$J$2:$J$37000,"4*",'Accounting data'!$K$2:$K$37000,"62*")</f>
        <v>0</v>
      </c>
      <c r="F35" s="551">
        <f>SUMIFS('Accounting data'!$G$2:$G$37000,'Accounting data'!$H$2:$H$37000,"1000*",'Accounting data'!$I$2:$I$37000,"200*",'Accounting data'!$J$2:$J$37000,"4*",'Accounting data'!$K$2:$K$37000,"63*")+SUMIFS('Accounting data'!$G$2:$G$37000,'Accounting data'!$H$2:$H$37000,"1500*",'Accounting data'!$I$2:$I$37000,"200*",'Accounting data'!$J$2:$J$37000,"4*",'Accounting data'!$K$2:$K$37000,"63*")+SUMIFS('Accounting data'!$G$2:$G$37000,'Accounting data'!$H$2:$H$37000,"1000*",'Accounting data'!$I$2:$I$37000,"270*",'Accounting data'!$J$2:$J$37000,"4*",'Accounting data'!$K$2:$K$37000,"63*")+SUMIFS('Accounting data'!$G$2:$G$37000,'Accounting data'!$H$2:$H$37000,"1500*",'Accounting data'!$I$2:$I$37000,"270*",'Accounting data'!$J$2:$J$37000,"4*",'Accounting data'!$K$2:$K$37000,"63*")</f>
        <v>0</v>
      </c>
      <c r="G35" s="551">
        <f>SUMIFS('Accounting data'!$G$2:$G$37000,'Accounting data'!$H$2:$H$37000,"1000*",'Accounting data'!$I$2:$I$37000,"200*",'Accounting data'!$J$2:$J$37000,"4*",'Accounting data'!$K$2:$K$37000,"66*")+SUMIFS('Accounting data'!$G$2:$G$37000,'Accounting data'!$H$2:$H$37000,"1500*",'Accounting data'!$I$2:$I$37000,"200*",'Accounting data'!$J$2:$J$37000,"4*",'Accounting data'!$K$2:$K$37000,"66*")+SUMIFS('Accounting data'!$G$2:$G$37000,'Accounting data'!$H$2:$H$37000,"1000*",'Accounting data'!$I$2:$I$37000,"270*",'Accounting data'!$J$2:$J$37000,"4*",'Accounting data'!$K$2:$K$37000,"66*")+SUMIFS('Accounting data'!$G$2:$G$37000,'Accounting data'!$H$2:$H$37000,"1500*",'Accounting data'!$I$2:$I$37000,"270*",'Accounting data'!$J$2:$J$37000,"4*",'Accounting data'!$K$2:$K$37000,"66*")</f>
        <v>0</v>
      </c>
      <c r="H35" s="551">
        <f>SUMIFS('Accounting data'!$G$2:$G$37000,'Accounting data'!$H$2:$H$37000,"1000*",'Accounting data'!$I$2:$I$37000,"200*",'Accounting data'!$J$2:$J$37000,"4*",'Accounting data'!$K$2:$K$37000,"68*")+SUMIFS('Accounting data'!$G$2:$G$37000,'Accounting data'!$H$2:$H$37000,"1500*",'Accounting data'!$I$2:$I$37000,"200*",'Accounting data'!$J$2:$J$37000,"4*",'Accounting data'!$K$2:$K$37000,"68*")+SUMIFS('Accounting data'!$G$2:$G$37000,'Accounting data'!$H$2:$H$37000,"1000*",'Accounting data'!$I$2:$I$37000,"270*",'Accounting data'!$J$2:$J$37000,"4*",'Accounting data'!$K$2:$K$37000,"68*")+SUMIFS('Accounting data'!$G$2:$G$37000,'Accounting data'!$H$2:$H$37000,"1500*",'Accounting data'!$I$2:$I$37000,"270*",'Accounting data'!$J$2:$J$37000,"4*",'Accounting data'!$K$2:$K$37000,"68*")</f>
        <v>0</v>
      </c>
      <c r="I35" s="550">
        <f>[1]!SP1000P200F4000</f>
        <v>0</v>
      </c>
      <c r="J35" s="552">
        <f t="shared" si="3"/>
        <v>0</v>
      </c>
      <c r="K35" s="550">
        <f>[2]!SP1000P200F4000</f>
        <v>0</v>
      </c>
      <c r="L35" s="553">
        <f t="shared" si="4"/>
        <v>0</v>
      </c>
      <c r="M35" s="66" t="s">
        <v>73</v>
      </c>
    </row>
    <row r="36" spans="1:13" ht="12" customHeight="1" x14ac:dyDescent="0.2">
      <c r="A36" s="89" t="s">
        <v>130</v>
      </c>
      <c r="C36" s="90" t="s">
        <v>75</v>
      </c>
      <c r="D36" s="551">
        <f>SUMIFS('Accounting data'!$G$2:$G$37000,'Accounting data'!$H$2:$H$37000,"1000*",'Accounting data'!$I$2:$I$37000,"200*",'Accounting data'!$J$2:$J$37000,"5*",'Accounting data'!$K$2:$K$37000,"61*")+SUMIFS('Accounting data'!$G$2:$G$37000,'Accounting data'!$H$2:$H$37000,"1500*",'Accounting data'!$I$2:$I$37000,"200*",'Accounting data'!$J$2:$J$37000,"5*",'Accounting data'!$K$2:$K$37000,"61*")+SUMIFS('Accounting data'!$G$2:$G$37000,'Accounting data'!$H$2:$H$37000,"1000*",'Accounting data'!$I$2:$I$37000,"270*",'Accounting data'!$J$2:$J$37000,"5*",'Accounting data'!$K$2:$K$37000,"61*")+SUMIFS('Accounting data'!$G$2:$G$37000,'Accounting data'!$H$2:$H$37000,"1500*",'Accounting data'!$I$2:$I$37000,"270*",'Accounting data'!$J$2:$J$37000,"5*",'Accounting data'!$K$2:$K$37000,"61*")</f>
        <v>0</v>
      </c>
      <c r="E36" s="551">
        <f>SUMIFS('Accounting data'!$G$2:$G$37000,'Accounting data'!$H$2:$H$37000,"1000*",'Accounting data'!$I$2:$I$37000,"200*",'Accounting data'!$J$2:$J$37000,"5*",'Accounting data'!$K$2:$K$37000,"62*")+SUMIFS('Accounting data'!$G$2:$G$37000,'Accounting data'!$H$2:$H$37000,"1500*",'Accounting data'!$I$2:$I$37000,"200*",'Accounting data'!$J$2:$J$37000,"5*",'Accounting data'!$K$2:$K$37000,"62*")+SUMIFS('Accounting data'!$G$2:$G$37000,'Accounting data'!$H$2:$H$37000,"1000*",'Accounting data'!$I$2:$I$37000,"270*",'Accounting data'!$J$2:$J$37000,"5*",'Accounting data'!$K$2:$K$37000,"62*")+SUMIFS('Accounting data'!$G$2:$G$37000,'Accounting data'!$H$2:$H$37000,"1500*",'Accounting data'!$I$2:$I$37000,"270*",'Accounting data'!$J$2:$J$37000,"5*",'Accounting data'!$K$2:$K$37000,"62*")</f>
        <v>0</v>
      </c>
      <c r="F36" s="551">
        <f>SUMIFS('Accounting data'!$G$2:$G$37000,'Accounting data'!$H$2:$H$37000,"1000*",'Accounting data'!$I$2:$I$37000,"200*",'Accounting data'!$J$2:$J$37000,"5*",'Accounting data'!$K$2:$K$37000,"63*")+SUMIFS('Accounting data'!$G$2:$G$37000,'Accounting data'!$H$2:$H$37000,"1500*",'Accounting data'!$I$2:$I$37000,"200*",'Accounting data'!$J$2:$J$37000,"5*",'Accounting data'!$K$2:$K$37000,"63*")+SUMIFS('Accounting data'!$G$2:$G$37000,'Accounting data'!$H$2:$H$37000,"1000*",'Accounting data'!$I$2:$I$37000,"270*",'Accounting data'!$J$2:$J$37000,"5*",'Accounting data'!$K$2:$K$37000,"63*")+SUMIFS('Accounting data'!$G$2:$G$37000,'Accounting data'!$H$2:$H$37000,"1500*",'Accounting data'!$I$2:$I$37000,"270*",'Accounting data'!$J$2:$J$37000,"5*",'Accounting data'!$K$2:$K$37000,"63*")</f>
        <v>0</v>
      </c>
      <c r="G36" s="551">
        <f>SUMIFS('Accounting data'!$G$2:$G$37000,'Accounting data'!$H$2:$H$37000,"1000*",'Accounting data'!$I$2:$I$37000,"200*",'Accounting data'!$J$2:$J$37000,"5*",'Accounting data'!$K$2:$K$37000,"66*")+SUMIFS('Accounting data'!$G$2:$G$37000,'Accounting data'!$H$2:$H$37000,"1500*",'Accounting data'!$I$2:$I$37000,"200*",'Accounting data'!$J$2:$J$37000,"5*",'Accounting data'!$K$2:$K$37000,"66*")+SUMIFS('Accounting data'!$G$2:$G$37000,'Accounting data'!$H$2:$H$37000,"1000*",'Accounting data'!$I$2:$I$37000,"270*",'Accounting data'!$J$2:$J$37000,"5*",'Accounting data'!$K$2:$K$37000,"66*")+SUMIFS('Accounting data'!$G$2:$G$37000,'Accounting data'!$H$2:$H$37000,"1500*",'Accounting data'!$I$2:$I$37000,"270*",'Accounting data'!$J$2:$J$37000,"5*",'Accounting data'!$K$2:$K$37000,"66*")</f>
        <v>0</v>
      </c>
      <c r="H36" s="551">
        <f>SUMIFS('Accounting data'!$G$2:$G$37000,'Accounting data'!$H$2:$H$37000,"1000*",'Accounting data'!$I$2:$I$37000,"200*",'Accounting data'!$J$2:$J$37000,"5*",'Accounting data'!$K$2:$K$37000,"68*")+SUMIFS('Accounting data'!$G$2:$G$37000,'Accounting data'!$H$2:$H$37000,"1500*",'Accounting data'!$I$2:$I$37000,"200*",'Accounting data'!$J$2:$J$37000,"5*",'Accounting data'!$K$2:$K$37000,"68*")+SUMIFS('Accounting data'!$G$2:$G$37000,'Accounting data'!$H$2:$H$37000,"1000*",'Accounting data'!$I$2:$I$37000,"270*",'Accounting data'!$J$2:$J$37000,"5*",'Accounting data'!$K$2:$K$37000,"68*")+SUMIFS('Accounting data'!$G$2:$G$37000,'Accounting data'!$H$2:$H$37000,"1500*",'Accounting data'!$I$2:$I$37000,"270*",'Accounting data'!$J$2:$J$37000,"5*",'Accounting data'!$K$2:$K$37000,"68*")</f>
        <v>0</v>
      </c>
      <c r="I36" s="550">
        <f>[1]!SP1000P200F5000</f>
        <v>0</v>
      </c>
      <c r="J36" s="552">
        <f t="shared" si="3"/>
        <v>0</v>
      </c>
      <c r="K36" s="550">
        <f>[2]!SP1000P200F5000</f>
        <v>0</v>
      </c>
      <c r="L36" s="553">
        <f t="shared" si="4"/>
        <v>0</v>
      </c>
      <c r="M36" s="66" t="s">
        <v>75</v>
      </c>
    </row>
    <row r="37" spans="1:13" ht="12" customHeight="1" x14ac:dyDescent="0.2">
      <c r="A37" s="93" t="s">
        <v>131</v>
      </c>
      <c r="B37" s="6"/>
      <c r="C37" s="96" t="s">
        <v>77</v>
      </c>
      <c r="D37" s="551">
        <f>SUM(D25:D36)</f>
        <v>0</v>
      </c>
      <c r="E37" s="551">
        <f t="shared" ref="E37:G37" si="5">SUM(E25:E36)</f>
        <v>0</v>
      </c>
      <c r="F37" s="551">
        <f t="shared" si="5"/>
        <v>159539</v>
      </c>
      <c r="G37" s="551">
        <f t="shared" si="5"/>
        <v>0</v>
      </c>
      <c r="H37" s="551">
        <f>SUM(H25:H36)</f>
        <v>0</v>
      </c>
      <c r="I37" s="551">
        <f>SUM(I25:I36)</f>
        <v>203785</v>
      </c>
      <c r="J37" s="551">
        <f>SUM(J25:J36)</f>
        <v>159539</v>
      </c>
      <c r="K37" s="551">
        <f>SUM(K25:K36)</f>
        <v>90056</v>
      </c>
      <c r="L37" s="97">
        <f t="shared" si="4"/>
        <v>0.77159999999999995</v>
      </c>
      <c r="M37" s="98" t="s">
        <v>77</v>
      </c>
    </row>
    <row r="38" spans="1:13" ht="12" customHeight="1" x14ac:dyDescent="0.2">
      <c r="A38" s="99" t="s">
        <v>132</v>
      </c>
      <c r="B38" s="100"/>
      <c r="C38" s="96" t="s">
        <v>79</v>
      </c>
      <c r="D38" s="551">
        <f>SUMIFS('Accounting data'!$G$2:$G$37000,'Accounting data'!$H$2:$H$37000,"1000*",'Accounting data'!$I$2:$I$37000,"400*",'Accounting data'!$K$2:$K$37000,"61*")+SUMIFS('Accounting data'!$G$2:$G$37000,'Accounting data'!$H$2:$H$37000,"1500*",'Accounting data'!$I$2:$I$37000,"400*",'Accounting data'!$K$2:$K$37000,"61*")</f>
        <v>0</v>
      </c>
      <c r="E38" s="551">
        <f>SUMIFS('Accounting data'!$G$2:$G$37000,'Accounting data'!$H$2:$H$37000,"1000*",'Accounting data'!$I$2:$I$37000,"400*",'Accounting data'!$K$2:$K$37000,"62*")+SUMIFS('Accounting data'!$G$2:$G$37000,'Accounting data'!$H$2:$H$37000,"1500*",'Accounting data'!$I$2:$I$37000,"400*",'Accounting data'!$K$2:$K$37000,"62*")</f>
        <v>0</v>
      </c>
      <c r="F38" s="551">
        <f>SUMIFS('Accounting data'!$G$2:$G$37000,'Accounting data'!$H$2:$H$37000,"1000*",'Accounting data'!$I$2:$I$37000,"400*",'Accounting data'!$K$2:$K$37000,"63*")+SUMIFS('Accounting data'!$G$2:$G$37000,'Accounting data'!$H$2:$H$37000,"1500*",'Accounting data'!$I$2:$I$37000,"400*",'Accounting data'!$K$2:$K$37000,"63*")</f>
        <v>0</v>
      </c>
      <c r="G38" s="551">
        <f>SUMIFS('Accounting data'!$G$2:$G$37000,'Accounting data'!$H$2:$H$37000,"1000*",'Accounting data'!$I$2:$I$37000,"400*",'Accounting data'!$K$2:$K$37000,"66*")+SUMIFS('Accounting data'!$G$2:$G$37000,'Accounting data'!$H$2:$H$37000,"1500*",'Accounting data'!$I$2:$I$37000,"400*",'Accounting data'!$K$2:$K$37000,"66*")</f>
        <v>0</v>
      </c>
      <c r="H38" s="551">
        <f>SUMIFS('Accounting data'!$G$2:$G$37000,'Accounting data'!$H$2:$H$37000,"1000*",'Accounting data'!$I$2:$I$37000,"400*",'Accounting data'!$K$2:$K$37000,"68*")+SUMIFS('Accounting data'!$G$2:$G$37000,'Accounting data'!$H$2:$H$37000,"1500*",'Accounting data'!$I$2:$I$37000,"400*",'Accounting data'!$K$2:$K$37000,"68*")</f>
        <v>0</v>
      </c>
      <c r="I38" s="550">
        <f>[1]!SP1000P400</f>
        <v>0</v>
      </c>
      <c r="J38" s="552">
        <f>SUM(D38:H38)</f>
        <v>0</v>
      </c>
      <c r="K38" s="550">
        <f>[2]!SP1000P400</f>
        <v>0</v>
      </c>
      <c r="L38" s="553">
        <f t="shared" si="4"/>
        <v>0</v>
      </c>
      <c r="M38" s="98" t="s">
        <v>79</v>
      </c>
    </row>
    <row r="39" spans="1:13" ht="12" customHeight="1" x14ac:dyDescent="0.2">
      <c r="A39" s="99" t="s">
        <v>133</v>
      </c>
      <c r="B39" s="100"/>
      <c r="C39" s="101" t="s">
        <v>81</v>
      </c>
      <c r="D39" s="551">
        <f>SUMIFS('Accounting data'!$G$2:$G$37000,'Accounting data'!$H$2:$H$37000,"1000*",'Accounting data'!$I$2:$I$37000,"53*",'Accounting data'!$K$2:$K$37000,"61*")+SUMIFS('Accounting data'!$G$2:$G$37000,'Accounting data'!$H$2:$H$37000,"1500*",'Accounting data'!$I$2:$I$37000,"53*",'Accounting data'!$K$2:$K$37000,"61*")</f>
        <v>0</v>
      </c>
      <c r="E39" s="551">
        <f>SUMIFS('Accounting data'!$G$2:$G$37000,'Accounting data'!$H$2:$H$37000,"1000*",'Accounting data'!$I$2:$I$37000,"53*",'Accounting data'!$K$2:$K$37000,"62*")+SUMIFS('Accounting data'!$G$2:$G$37000,'Accounting data'!$H$2:$H$37000,"1000*",'Accounting data'!$I$2:$I$37000,"53*",'Accounting data'!$K$2:$K$37000,"62*")</f>
        <v>0</v>
      </c>
      <c r="F39" s="551">
        <f>SUMIFS('Accounting data'!$G$2:$G$37000,'Accounting data'!$H$2:$H$37000,"1000*",'Accounting data'!$I$2:$I$37000,"53*",'Accounting data'!$K$2:$K$37000,"63*")+SUMIFS('Accounting data'!$G$2:$G$37000,'Accounting data'!$H$2:$H$37000,"1500*",'Accounting data'!$I$2:$I$37000,"53*",'Accounting data'!$K$2:$K$37000,"63*")</f>
        <v>0</v>
      </c>
      <c r="G39" s="551">
        <f>SUMIFS('Accounting data'!$G$2:$G$37000,'Accounting data'!$H$2:$H$37000,"1000*",'Accounting data'!$I$2:$I$37000,"53*",'Accounting data'!$K$2:$K$37000,"66*")+SUMIFS('Accounting data'!$G$2:$G$37000,'Accounting data'!$H$2:$H$37000,"1500*",'Accounting data'!$I$2:$I$37000,"53*",'Accounting data'!$K$2:$K$37000,"66*")</f>
        <v>0</v>
      </c>
      <c r="H39" s="551">
        <f>SUMIFS('Accounting data'!$G$2:$G$37000,'Accounting data'!$H$2:$H$37000,"1000*",'Accounting data'!$I$2:$I$37000,"53*",'Accounting data'!$K$2:$K$37000,"68*")+SUMIFS('Accounting data'!$G$2:$G$37000,'Accounting data'!$H$2:$H$37000,"1500*",'Accounting data'!$I$2:$I$37000,"53*",'Accounting data'!$K$2:$K$37000,"68*")</f>
        <v>0</v>
      </c>
      <c r="I39" s="550">
        <f>[1]!SP1000P530</f>
        <v>0</v>
      </c>
      <c r="J39" s="552">
        <f>SUM(D39:H39)</f>
        <v>0</v>
      </c>
      <c r="K39" s="550">
        <f>[2]!SP1000P530</f>
        <v>0</v>
      </c>
      <c r="L39" s="553">
        <f t="shared" si="4"/>
        <v>0</v>
      </c>
      <c r="M39" s="98" t="s">
        <v>81</v>
      </c>
    </row>
    <row r="40" spans="1:13" ht="12" customHeight="1" x14ac:dyDescent="0.2">
      <c r="A40" s="99" t="s">
        <v>134</v>
      </c>
      <c r="B40" s="100"/>
      <c r="C40" s="101" t="s">
        <v>83</v>
      </c>
      <c r="D40" s="551">
        <f>SUMIFS('Accounting data'!$G$2:$G$37000,'Accounting data'!$H$2:$H$37000,"1000*",'Accounting data'!$I$2:$I$37000,"54*",'Accounting data'!$K$2:$K$37000,"61*")+SUMIFS('Accounting data'!$G$2:$G$37000,'Accounting data'!$H$2:$H$37000,"1500*",'Accounting data'!$I$2:$I$37000,"54*",'Accounting data'!$K$2:$K$37000,"61*")</f>
        <v>0</v>
      </c>
      <c r="E40" s="551">
        <f>SUMIFS('Accounting data'!$G$2:$G$37000,'Accounting data'!$H$2:$H$37000,"1000*",'Accounting data'!$I$2:$I$37000,"54*",'Accounting data'!$K$2:$K$37000,"62*")+SUMIFS('Accounting data'!$G$2:$G$37000,'Accounting data'!$H$2:$H$37000,"1500*",'Accounting data'!$I$2:$I$37000,"54*",'Accounting data'!$K$2:$K$37000,"62*")</f>
        <v>0</v>
      </c>
      <c r="F40" s="551">
        <f>SUMIFS('Accounting data'!$G$2:$G$37000,'Accounting data'!$H$2:$H$37000,"1000*",'Accounting data'!$I$2:$I$37000,"54*",'Accounting data'!$K$2:$K$37000,"63*")+SUMIFS('Accounting data'!$G$2:$G$37000,'Accounting data'!$H$2:$H$37000,"1500*",'Accounting data'!$I$2:$I$37000,"54*",'Accounting data'!$K$2:$K$37000,"63*")</f>
        <v>0</v>
      </c>
      <c r="G40" s="551">
        <f>SUMIFS('Accounting data'!$G$2:$G$37000,'Accounting data'!$H$2:$H$37000,"1000*",'Accounting data'!$I$2:$I$37000,"54*",'Accounting data'!$K$2:$K$37000,"66*")+SUMIFS('Accounting data'!$G$2:$G$37000,'Accounting data'!$H$2:$H$37000,"1500*",'Accounting data'!$I$2:$I$37000,"54*",'Accounting data'!$K$2:$K$37000,"66*")</f>
        <v>0</v>
      </c>
      <c r="H40" s="551">
        <f>SUMIFS('Accounting data'!$G$2:$G$37000,'Accounting data'!$H$2:$H$37000,"1000*",'Accounting data'!$I$2:$I$37000,"54*",'Accounting data'!$K$2:$K$37000,"68*")+SUMIFS('Accounting data'!$G$2:$G$37000,'Accounting data'!$H$2:$H$37000,"1500*",'Accounting data'!$I$2:$I$37000,"54*",'Accounting data'!$K$2:$K$37000,"68*")</f>
        <v>0</v>
      </c>
      <c r="I40" s="550">
        <f>[1]!SP1000P540</f>
        <v>0</v>
      </c>
      <c r="J40" s="552">
        <f>SUM(D40:H40)</f>
        <v>0</v>
      </c>
      <c r="K40" s="550">
        <f>[2]!SP1000P540</f>
        <v>0</v>
      </c>
      <c r="L40" s="553">
        <f t="shared" si="4"/>
        <v>0</v>
      </c>
      <c r="M40" s="98" t="s">
        <v>83</v>
      </c>
    </row>
    <row r="41" spans="1:13" ht="12" customHeight="1" x14ac:dyDescent="0.2">
      <c r="A41" s="99" t="s">
        <v>135</v>
      </c>
      <c r="B41" s="100"/>
      <c r="C41" s="101" t="s">
        <v>84</v>
      </c>
      <c r="D41" s="551">
        <f>SUMIFS('Accounting data'!$G$2:$G$37000,'Accounting data'!$H$2:$H$37000,"1000*",'Accounting data'!$I$2:$I$37000,"55*",'Accounting data'!$K$2:$K$37000,"61*")+SUMIFS('Accounting data'!$G$2:$G$37000,'Accounting data'!$H$2:$H$37000,"1500*",'Accounting data'!$I$2:$I$37000,"55*",'Accounting data'!$K$2:$K$37000,"61*")</f>
        <v>0</v>
      </c>
      <c r="E41" s="551">
        <f>SUMIFS('Accounting data'!$G$2:$G$37000,'Accounting data'!$H$2:$H$37000,"1000*",'Accounting data'!$I$2:$I$37000,"55*",'Accounting data'!$K$2:$K$37000,"62*")+SUMIFS('Accounting data'!$G$2:$G$37000,'Accounting data'!$H$2:$H$37000,"1500*",'Accounting data'!$I$2:$I$37000,"55*",'Accounting data'!$K$2:$K$37000,"62*")</f>
        <v>0</v>
      </c>
      <c r="F41" s="551">
        <f>SUMIFS('Accounting data'!$G$2:$G$37000,'Accounting data'!$H$2:$H$37000,"1000*",'Accounting data'!$I$2:$I$37000,"55*",'Accounting data'!$K$2:$K$37000,"63*")+SUMIFS('Accounting data'!$G$2:$G$37000,'Accounting data'!$H$2:$H$37000,"1500*",'Accounting data'!$I$2:$I$37000,"55*",'Accounting data'!$K$2:$K$37000,"63*")</f>
        <v>0</v>
      </c>
      <c r="G41" s="551">
        <f>SUMIFS('Accounting data'!$G$2:$G$37000,'Accounting data'!$H$2:$H$37000,"1000*",'Accounting data'!$I$2:$I$37000,"55*",'Accounting data'!$K$2:$K$37000,"66*")+SUMIFS('Accounting data'!$G$2:$G$37000,'Accounting data'!$H$2:$H$37000,"1500*",'Accounting data'!$I$2:$I$37000,"55*",'Accounting data'!$K$2:$K$37000,"66*")</f>
        <v>0</v>
      </c>
      <c r="H41" s="551">
        <f>SUMIFS('Accounting data'!$G$2:$G$37000,'Accounting data'!$H$2:$H$37000,"1000*",'Accounting data'!$I$2:$I$37000,"55*",'Accounting data'!$K$2:$K$37000,"68*")+SUMIFS('Accounting data'!$G$2:$G$37000,'Accounting data'!$H$2:$H$37000,"1500*",'Accounting data'!$I$2:$I$37000,"55*",'Accounting data'!$K$2:$K$37000,"68*")</f>
        <v>0</v>
      </c>
      <c r="I41" s="550">
        <f>[1]!SP1000P550</f>
        <v>0</v>
      </c>
      <c r="J41" s="552">
        <f>SUM(D41:H41)</f>
        <v>0</v>
      </c>
      <c r="K41" s="550">
        <f>[2]!SP1000P550</f>
        <v>0</v>
      </c>
      <c r="L41" s="553">
        <f t="shared" si="4"/>
        <v>0</v>
      </c>
      <c r="M41" s="98" t="s">
        <v>84</v>
      </c>
    </row>
    <row r="42" spans="1:13" ht="12" customHeight="1" x14ac:dyDescent="0.2">
      <c r="A42" s="99" t="s">
        <v>136</v>
      </c>
      <c r="B42" s="100"/>
      <c r="C42" s="101" t="s">
        <v>137</v>
      </c>
      <c r="D42" s="551">
        <f t="shared" ref="D42:I42" si="6">SUM(D38:D41)+D37+D23</f>
        <v>177857</v>
      </c>
      <c r="E42" s="551">
        <f t="shared" si="6"/>
        <v>73077</v>
      </c>
      <c r="F42" s="551">
        <f t="shared" si="6"/>
        <v>3513416</v>
      </c>
      <c r="G42" s="551">
        <f t="shared" si="6"/>
        <v>86400</v>
      </c>
      <c r="H42" s="551">
        <f t="shared" si="6"/>
        <v>15083</v>
      </c>
      <c r="I42" s="550">
        <f t="shared" si="6"/>
        <v>3292591</v>
      </c>
      <c r="J42" s="552">
        <f>SUM(J37:J41)+J23</f>
        <v>3865833</v>
      </c>
      <c r="K42" s="552">
        <f>SUM(K23)+SUM(K37:K41)</f>
        <v>2426710</v>
      </c>
      <c r="L42" s="553">
        <f t="shared" si="4"/>
        <v>0.59299999999999997</v>
      </c>
      <c r="M42" s="98" t="s">
        <v>137</v>
      </c>
    </row>
    <row r="43" spans="1:13" ht="12" customHeight="1" x14ac:dyDescent="0.2">
      <c r="A43" s="99" t="s">
        <v>1154</v>
      </c>
      <c r="B43" s="100"/>
      <c r="C43" s="101" t="s">
        <v>138</v>
      </c>
      <c r="D43" s="551">
        <f>'Page 3'!F13</f>
        <v>395367</v>
      </c>
      <c r="E43" s="551">
        <f>'Page 3'!G13</f>
        <v>46305</v>
      </c>
      <c r="F43" s="551">
        <f>'Page 3'!H13</f>
        <v>48862</v>
      </c>
      <c r="G43" s="551">
        <f>'Page 3'!I13</f>
        <v>0</v>
      </c>
      <c r="H43" s="694">
        <f>'Page 3'!G18</f>
        <v>0</v>
      </c>
      <c r="I43" s="550">
        <f>[1]!SP1000ClassSiteProj</f>
        <v>550242</v>
      </c>
      <c r="J43" s="552">
        <f>SUM(D43:H43)</f>
        <v>490534</v>
      </c>
      <c r="K43" s="550">
        <f>[2]!SP1000ClassSiteProj</f>
        <v>456165</v>
      </c>
      <c r="L43" s="553">
        <f t="shared" si="4"/>
        <v>7.5300000000000006E-2</v>
      </c>
      <c r="M43" s="98" t="s">
        <v>138</v>
      </c>
    </row>
    <row r="44" spans="1:13" ht="12" customHeight="1" x14ac:dyDescent="0.2">
      <c r="A44" s="99" t="s">
        <v>139</v>
      </c>
      <c r="B44" s="100"/>
      <c r="C44" s="101" t="s">
        <v>140</v>
      </c>
      <c r="D44" s="102"/>
      <c r="E44" s="102"/>
      <c r="F44" s="102"/>
      <c r="G44" s="102"/>
      <c r="H44" s="102"/>
      <c r="I44" s="550">
        <f>[1]!SP1000InstrImpProj</f>
        <v>18680</v>
      </c>
      <c r="J44" s="552">
        <f>SUMIFS('Accounting data'!$G$2:$G$37000,'Accounting data'!$H$2:$H$37000,"1020*",'Accounting data'!$K$2:$K$37000,"6*")</f>
        <v>33729</v>
      </c>
      <c r="K44" s="550">
        <f>[2]!SP1000InstrImpProj</f>
        <v>34565</v>
      </c>
      <c r="L44" s="553">
        <f t="shared" si="4"/>
        <v>-2.4199999999999999E-2</v>
      </c>
      <c r="M44" s="98" t="s">
        <v>140</v>
      </c>
    </row>
    <row r="45" spans="1:13" ht="12" customHeight="1" x14ac:dyDescent="0.2">
      <c r="A45" s="99" t="s">
        <v>141</v>
      </c>
      <c r="B45" s="100"/>
      <c r="C45" s="101" t="s">
        <v>142</v>
      </c>
      <c r="D45" s="551">
        <f>TotalSEIP6100</f>
        <v>0</v>
      </c>
      <c r="E45" s="551">
        <f>TotalSEIP6200</f>
        <v>0</v>
      </c>
      <c r="F45" s="551">
        <f>TotalSEIP630064006500</f>
        <v>0</v>
      </c>
      <c r="G45" s="551">
        <f>TotalSEIP6600</f>
        <v>0</v>
      </c>
      <c r="H45" s="551">
        <f>TotalSEIP6800</f>
        <v>0</v>
      </c>
      <c r="I45" s="550">
        <f>[1]!SP1000StruEngImmProj</f>
        <v>0</v>
      </c>
      <c r="J45" s="552">
        <f>SUM(D45:H45)</f>
        <v>0</v>
      </c>
      <c r="K45" s="550">
        <f>[2]!SP1000StruEngImmProj</f>
        <v>0</v>
      </c>
      <c r="L45" s="553">
        <f t="shared" si="4"/>
        <v>0</v>
      </c>
      <c r="M45" s="98" t="s">
        <v>142</v>
      </c>
    </row>
    <row r="46" spans="1:13" ht="12" customHeight="1" x14ac:dyDescent="0.2">
      <c r="A46" s="99" t="s">
        <v>143</v>
      </c>
      <c r="B46" s="100"/>
      <c r="C46" s="101" t="s">
        <v>144</v>
      </c>
      <c r="D46" s="551">
        <f>TotalCIP6100</f>
        <v>0</v>
      </c>
      <c r="E46" s="551">
        <f>TotalCIP6200</f>
        <v>0</v>
      </c>
      <c r="F46" s="551">
        <f>TotalCIP630064006500</f>
        <v>0</v>
      </c>
      <c r="G46" s="551">
        <f>TotalCIP6600</f>
        <v>0</v>
      </c>
      <c r="H46" s="551">
        <f>TotalCIP6800</f>
        <v>0</v>
      </c>
      <c r="I46" s="550">
        <f>[1]!SP1000CompInstrProj</f>
        <v>0</v>
      </c>
      <c r="J46" s="552">
        <f>SUM(D46:H46)</f>
        <v>0</v>
      </c>
      <c r="K46" s="550">
        <f>[2]!SP1000CompInstrProj</f>
        <v>0</v>
      </c>
      <c r="L46" s="553">
        <f t="shared" si="4"/>
        <v>0</v>
      </c>
      <c r="M46" s="98" t="s">
        <v>144</v>
      </c>
    </row>
    <row r="47" spans="1:13" ht="12" customHeight="1" x14ac:dyDescent="0.2">
      <c r="A47" s="212" t="s">
        <v>1155</v>
      </c>
      <c r="B47" s="103"/>
      <c r="C47" s="101" t="s">
        <v>145</v>
      </c>
      <c r="D47" s="104"/>
      <c r="E47" s="104"/>
      <c r="F47" s="104"/>
      <c r="G47" s="104"/>
      <c r="H47" s="104"/>
      <c r="I47" s="550">
        <f>[1]!SP1000FedStProj</f>
        <v>48025</v>
      </c>
      <c r="J47" s="552">
        <f>ActualTotalFederalAndStateProjects</f>
        <v>80656</v>
      </c>
      <c r="K47" s="550">
        <f>[2]!SP1000FedStProj</f>
        <v>166639</v>
      </c>
      <c r="L47" s="553">
        <f t="shared" si="4"/>
        <v>-0.51600000000000001</v>
      </c>
      <c r="M47" s="98" t="s">
        <v>145</v>
      </c>
    </row>
    <row r="48" spans="1:13" ht="12" customHeight="1" x14ac:dyDescent="0.2">
      <c r="A48" s="99" t="s">
        <v>146</v>
      </c>
      <c r="B48" s="100"/>
      <c r="C48" s="101" t="s">
        <v>147</v>
      </c>
      <c r="D48" s="104"/>
      <c r="E48" s="104"/>
      <c r="F48" s="104"/>
      <c r="G48" s="104"/>
      <c r="H48" s="104"/>
      <c r="I48" s="552">
        <f>SUM(I42:I47)</f>
        <v>3909538</v>
      </c>
      <c r="J48" s="552">
        <f>SUM(J42:J47)</f>
        <v>4470752</v>
      </c>
      <c r="K48" s="552">
        <f>SUM(K42:K47)</f>
        <v>3084079</v>
      </c>
      <c r="L48" s="553">
        <f t="shared" si="4"/>
        <v>0.4496</v>
      </c>
      <c r="M48" s="98" t="s">
        <v>147</v>
      </c>
    </row>
  </sheetData>
  <sheetProtection sheet="1" formatCells="0" formatColumns="0" formatRows="0"/>
  <mergeCells count="11">
    <mergeCell ref="N10:AF10"/>
    <mergeCell ref="N9:AF9"/>
    <mergeCell ref="L6:L7"/>
    <mergeCell ref="L8:L9"/>
    <mergeCell ref="L26:L27"/>
    <mergeCell ref="L24:L25"/>
    <mergeCell ref="L21:L22"/>
    <mergeCell ref="B1:C1"/>
    <mergeCell ref="L3:L5"/>
    <mergeCell ref="I3:K3"/>
    <mergeCell ref="I21:I22"/>
  </mergeCells>
  <conditionalFormatting sqref="J10">
    <cfRule type="expression" dxfId="76" priority="1" stopIfTrue="1">
      <formula>$N$10&lt;&gt;""</formula>
    </cfRule>
  </conditionalFormatting>
  <conditionalFormatting sqref="N9:AF9">
    <cfRule type="expression" dxfId="75" priority="11" stopIfTrue="1">
      <formula>$N$9&lt;&gt;""</formula>
    </cfRule>
  </conditionalFormatting>
  <conditionalFormatting sqref="N10:AF10">
    <cfRule type="expression" dxfId="74" priority="10" stopIfTrue="1">
      <formula>$N$10&lt;&gt;""</formula>
    </cfRule>
  </conditionalFormatting>
  <hyperlinks>
    <hyperlink ref="A4" location="ExpensesPage2" display="Expenses" xr:uid="{00000000-0004-0000-0300-000000000000}"/>
    <hyperlink ref="A47:B47" location="FederalAndStateProjectsPage2" display="Federal and State Projects (from page 9, line 30)" xr:uid="{00000000-0004-0000-0300-000001000000}"/>
    <hyperlink ref="B3" location="ExpensesPage2" display="Instructions" xr:uid="{F6A47C96-D511-4C4A-A580-7CD476A10413}"/>
  </hyperlinks>
  <pageMargins left="0.7" right="0.7" top="0.75" bottom="0.75" header="0.3" footer="0.3"/>
  <pageSetup paperSize="5" scale="89" orientation="landscape" verticalDpi="598" r:id="rId1"/>
  <headerFooter>
    <oddFooter>&amp;LRev. 8/25 Arizona Department of Education and Auditor General&amp;CFY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67B2-2EA9-4084-AAFC-A40F2E53C17A}">
  <sheetPr>
    <pageSetUpPr fitToPage="1"/>
  </sheetPr>
  <dimension ref="A1:AA31"/>
  <sheetViews>
    <sheetView showGridLines="0" topLeftCell="A16" workbookViewId="0">
      <selection activeCell="F31" sqref="F31"/>
    </sheetView>
  </sheetViews>
  <sheetFormatPr defaultColWidth="9.33203125" defaultRowHeight="12.75" x14ac:dyDescent="0.2"/>
  <cols>
    <col min="1" max="1" width="1.83203125" customWidth="1"/>
    <col min="2" max="2" width="2" customWidth="1"/>
    <col min="3" max="3" width="25.83203125" customWidth="1"/>
    <col min="4" max="4" width="17.1640625" customWidth="1"/>
    <col min="5" max="5" width="4.33203125" customWidth="1"/>
    <col min="6" max="6" width="19.83203125" customWidth="1"/>
    <col min="7" max="12" width="16" customWidth="1"/>
    <col min="13" max="13" width="79.6640625" customWidth="1"/>
    <col min="15" max="15" width="8.83203125" customWidth="1"/>
  </cols>
  <sheetData>
    <row r="1" spans="1:13" x14ac:dyDescent="0.2">
      <c r="A1" s="549" t="s">
        <v>0</v>
      </c>
      <c r="D1" s="1" t="str">
        <f>'Cover Page'!D1</f>
        <v>Pima Rose Academy, Inc.</v>
      </c>
      <c r="E1" s="567"/>
      <c r="F1" s="62" t="s">
        <v>148</v>
      </c>
      <c r="G1" s="1" t="str">
        <f>'Cover Page'!M1</f>
        <v>Pima</v>
      </c>
      <c r="H1" s="4"/>
      <c r="I1" s="62" t="s">
        <v>2</v>
      </c>
      <c r="J1" s="2" t="str">
        <f>'Cover Page'!R1</f>
        <v>108602000</v>
      </c>
    </row>
    <row r="4" spans="1:13" x14ac:dyDescent="0.2">
      <c r="A4" s="76"/>
      <c r="B4" s="112"/>
      <c r="C4" s="113"/>
      <c r="D4" s="113"/>
      <c r="E4" s="114"/>
      <c r="F4" s="74"/>
      <c r="G4" s="570" t="s">
        <v>149</v>
      </c>
      <c r="H4" s="570" t="s">
        <v>150</v>
      </c>
      <c r="I4" s="83"/>
      <c r="J4" s="824" t="s">
        <v>87</v>
      </c>
      <c r="K4" s="825"/>
      <c r="L4" s="115"/>
    </row>
    <row r="5" spans="1:13" x14ac:dyDescent="0.2">
      <c r="A5" s="116" t="s">
        <v>89</v>
      </c>
      <c r="C5" s="117"/>
      <c r="D5" s="117"/>
      <c r="E5" s="118"/>
      <c r="F5" s="81" t="s">
        <v>90</v>
      </c>
      <c r="G5" s="79" t="s">
        <v>91</v>
      </c>
      <c r="H5" s="81" t="s">
        <v>92</v>
      </c>
      <c r="I5" s="119" t="s">
        <v>93</v>
      </c>
      <c r="J5" s="81"/>
      <c r="K5" s="81"/>
      <c r="L5" s="120"/>
    </row>
    <row r="6" spans="1:13" x14ac:dyDescent="0.2">
      <c r="A6" s="93"/>
      <c r="B6" s="6"/>
      <c r="C6" s="121"/>
      <c r="D6" s="121"/>
      <c r="E6" s="122"/>
      <c r="F6" s="86">
        <v>6100</v>
      </c>
      <c r="G6" s="575">
        <v>6200</v>
      </c>
      <c r="H6" s="86" t="s">
        <v>97</v>
      </c>
      <c r="I6" s="86">
        <v>6600</v>
      </c>
      <c r="J6" s="86" t="s">
        <v>98</v>
      </c>
      <c r="K6" s="86" t="s">
        <v>23</v>
      </c>
      <c r="L6" s="120"/>
    </row>
    <row r="7" spans="1:13" x14ac:dyDescent="0.2">
      <c r="A7" s="559" t="s">
        <v>151</v>
      </c>
      <c r="B7" s="560"/>
      <c r="C7" s="560"/>
      <c r="D7" s="560"/>
      <c r="E7" s="123"/>
      <c r="F7" s="83"/>
      <c r="G7" s="83"/>
      <c r="H7" s="83"/>
      <c r="I7" s="83"/>
      <c r="J7" s="83"/>
      <c r="K7" s="83"/>
      <c r="L7" s="89"/>
    </row>
    <row r="8" spans="1:13" x14ac:dyDescent="0.2">
      <c r="A8" s="124"/>
      <c r="B8" s="117"/>
      <c r="C8" t="s">
        <v>152</v>
      </c>
      <c r="D8" s="117"/>
      <c r="E8" s="125" t="s">
        <v>24</v>
      </c>
      <c r="F8" s="557">
        <f>SUMIFS('Accounting data'!$G$2:$G$37000,'Accounting data'!$H$2:$H$37000,"1010*",'Accounting data'!$J$2:$J$37000,"1*",'Accounting data'!$K$2:$K$37000,"61*")</f>
        <v>211003</v>
      </c>
      <c r="G8" s="557">
        <f>SUMIFS('Accounting data'!$G$2:$G$37000,'Accounting data'!$H$2:$H$37000,"1010*",'Accounting data'!$J$2:$J$37000,"1*",'Accounting data'!$K$2:$K$37000,"62*")</f>
        <v>23151</v>
      </c>
      <c r="H8" s="557">
        <f>SUMIFS('Accounting data'!$G$2:$G$37000,'Accounting data'!$H$2:$H$37000,"1010*",'Accounting data'!$J$2:$J$37000,"1*",'Accounting data'!$K$2:$K$37000,"63*")</f>
        <v>4689</v>
      </c>
      <c r="I8" s="557">
        <f>SUMIFS('Accounting data'!$G$2:$G$37000,'Accounting data'!$H$2:$H$37000,"1010*",'Accounting data'!$J$2:$J$37000,"1*",'Accounting data'!$K$2:$K$37000,"66*")</f>
        <v>0</v>
      </c>
      <c r="J8" s="556">
        <f t="array" ref="J8">[1]!_CSP1000</f>
        <v>300381</v>
      </c>
      <c r="K8" s="557">
        <f>SUM(F8:I8)</f>
        <v>238843</v>
      </c>
      <c r="L8" s="89"/>
    </row>
    <row r="9" spans="1:13" x14ac:dyDescent="0.2">
      <c r="A9" s="124"/>
      <c r="B9" s="117"/>
      <c r="C9" t="s">
        <v>153</v>
      </c>
      <c r="D9" s="117"/>
      <c r="E9" s="125" t="s">
        <v>26</v>
      </c>
      <c r="F9" s="552">
        <f>SUMIFS('Accounting data'!$G$2:$G$37000,'Accounting data'!$H$2:$H$37000,"1010*",'Accounting data'!$J$2:$J$37000,"21*",'Accounting data'!$K$2:$K$37000,"61*")</f>
        <v>89168</v>
      </c>
      <c r="G9" s="552">
        <f>SUMIFS('Accounting data'!$G$2:$G$37000,'Accounting data'!$H$2:$H$37000,"1010*",'Accounting data'!$J$2:$J$37000,"21*",'Accounting data'!$K$2:$K$37000,"62*")</f>
        <v>6821</v>
      </c>
      <c r="H9" s="552">
        <f>SUMIFS('Accounting data'!$G$2:$G$37000,'Accounting data'!$H$2:$H$37000,"1010*",'Accounting data'!$J$2:$J$37000,"21*",'Accounting data'!$K$2:$K$37000,"63*")</f>
        <v>24043</v>
      </c>
      <c r="I9" s="552">
        <f>SUMIFS('Accounting data'!$G$2:$G$37000,'Accounting data'!$H$2:$H$37000,"1010*",'Accounting data'!$J$2:$J$37000,"21*",'Accounting data'!$K$2:$K$37000,"66*")</f>
        <v>0</v>
      </c>
      <c r="J9" s="550">
        <f t="array" ref="J9">[1]!_CSP2100</f>
        <v>161139</v>
      </c>
      <c r="K9" s="552">
        <f t="shared" ref="K9:K13" si="0">SUM(F9:I9)</f>
        <v>120032</v>
      </c>
      <c r="L9" s="89"/>
    </row>
    <row r="10" spans="1:13" x14ac:dyDescent="0.2">
      <c r="A10" s="124"/>
      <c r="B10" s="117"/>
      <c r="C10" t="s">
        <v>154</v>
      </c>
      <c r="D10" s="117"/>
      <c r="E10" s="125" t="s">
        <v>28</v>
      </c>
      <c r="F10" s="552">
        <f>SUMIFS('Accounting data'!$G$2:$G$37000,'Accounting data'!$H$2:$H$37000,"1010*",'Accounting data'!$J$2:$J$37000,"22*",'Accounting data'!$K$2:$K$37000,"61*")</f>
        <v>95196</v>
      </c>
      <c r="G10" s="552">
        <f>SUMIFS('Accounting data'!$G$2:$G$37000,'Accounting data'!$H$2:$H$37000,"1010*",'Accounting data'!$J$2:$J$37000,"22*",'Accounting data'!$K$2:$K$37000,"62*")</f>
        <v>16333</v>
      </c>
      <c r="H10" s="552">
        <f>SUMIFS('Accounting data'!$G$2:$G$37000,'Accounting data'!$H$2:$H$37000,"1010*",'Accounting data'!$J$2:$J$37000,"22*",'Accounting data'!$K$2:$K$37000,"63*")</f>
        <v>20130</v>
      </c>
      <c r="I10" s="552">
        <f>SUMIFS('Accounting data'!$G$2:$G$37000,'Accounting data'!$H$2:$H$37000,"1010*",'Accounting data'!$J$2:$J$37000,"22*",'Accounting data'!$K$2:$K$37000,"66*")</f>
        <v>0</v>
      </c>
      <c r="J10" s="550">
        <f t="array" ref="J10">[1]!_CSP2200</f>
        <v>88722</v>
      </c>
      <c r="K10" s="552">
        <f t="shared" si="0"/>
        <v>131659</v>
      </c>
      <c r="L10" s="89"/>
    </row>
    <row r="11" spans="1:13" x14ac:dyDescent="0.2">
      <c r="A11" s="124"/>
      <c r="B11" s="117"/>
      <c r="C11" s="212" t="s">
        <v>155</v>
      </c>
      <c r="D11" s="126"/>
      <c r="E11" s="125" t="s">
        <v>31</v>
      </c>
      <c r="F11" s="104"/>
      <c r="G11" s="104"/>
      <c r="H11" s="552">
        <f>SUMIFS('Accounting data'!$G$2:$G$37000,'Accounting data'!$H$2:$H$37000,"1010*",'Accounting data'!$J$2:$J$37000,"23*",'Accounting data'!$K$2:$K$37000,"63*")</f>
        <v>0</v>
      </c>
      <c r="I11" s="104"/>
      <c r="J11" s="550">
        <f t="array" ref="J11">[1]!_CSP2300</f>
        <v>0</v>
      </c>
      <c r="K11" s="552">
        <f t="shared" si="0"/>
        <v>0</v>
      </c>
      <c r="L11" s="89"/>
    </row>
    <row r="12" spans="1:13" ht="12.75" customHeight="1" x14ac:dyDescent="0.2">
      <c r="A12" s="127"/>
      <c r="B12" s="121"/>
      <c r="C12" s="652" t="s">
        <v>156</v>
      </c>
      <c r="D12" s="128"/>
      <c r="E12" s="129" t="s">
        <v>33</v>
      </c>
      <c r="F12" s="552">
        <f>SUMIFS('Accounting data'!$G$2:$G$37000,'Accounting data'!$H$2:$H$37000,"1010*",'Accounting data'!$J$2:$J$37000,"33*",'Accounting data'!$K$2:$K$37000,"61*")</f>
        <v>0</v>
      </c>
      <c r="G12" s="552">
        <f>SUMIFS('Accounting data'!$G$2:$G$37000,'Accounting data'!$H$2:$H$37000,"1010*",'Accounting data'!$J$2:$J$37000,"33*",'Accounting data'!$K$2:$K$37000,"62*")</f>
        <v>0</v>
      </c>
      <c r="H12" s="552">
        <f>SUMIFS('Accounting data'!$G$2:$G$37000,'Accounting data'!$H$2:$H$37000,"1010*",'Accounting data'!$J$2:$J$37000,"33*",'Accounting data'!$K$2:$K$37000,"63*")</f>
        <v>0</v>
      </c>
      <c r="I12" s="104"/>
      <c r="J12" s="550">
        <f t="array" ref="J12">[1]!_CSP3300</f>
        <v>0</v>
      </c>
      <c r="K12" s="552">
        <f t="shared" si="0"/>
        <v>0</v>
      </c>
      <c r="L12" s="89"/>
      <c r="M12" s="826" t="str">
        <f>IF('Page 2'!J48=0,"",IF(OR(K13&lt;=0),"The Charter did not report any expenses for Classroom Site Project. If the Charter did not have any expense, verify by checking the box in A14 on the Cover Page.",""))</f>
        <v/>
      </c>
    </row>
    <row r="13" spans="1:13" ht="12" customHeight="1" x14ac:dyDescent="0.2">
      <c r="A13" s="93" t="s">
        <v>157</v>
      </c>
      <c r="B13" s="121"/>
      <c r="C13" s="6"/>
      <c r="D13" s="121"/>
      <c r="E13" s="129" t="s">
        <v>35</v>
      </c>
      <c r="F13" s="552">
        <f>SUM(F8:F12)</f>
        <v>395367</v>
      </c>
      <c r="G13" s="552">
        <f>SUM(G8:G12)</f>
        <v>46305</v>
      </c>
      <c r="H13" s="552">
        <f>SUM(H8:H12)</f>
        <v>48862</v>
      </c>
      <c r="I13" s="552">
        <f>SUM(I8:I12)</f>
        <v>0</v>
      </c>
      <c r="J13" s="552">
        <f>SUM(J8:J12)</f>
        <v>550242</v>
      </c>
      <c r="K13" s="552">
        <f t="shared" si="0"/>
        <v>490534</v>
      </c>
      <c r="L13" s="89"/>
      <c r="M13" s="826"/>
    </row>
    <row r="16" spans="1:13" ht="16.5" customHeight="1" x14ac:dyDescent="0.2">
      <c r="A16" s="559" t="s">
        <v>158</v>
      </c>
      <c r="B16" s="559"/>
      <c r="C16" s="560"/>
      <c r="D16" s="559"/>
      <c r="E16" s="130"/>
      <c r="F16" s="131" t="s">
        <v>98</v>
      </c>
      <c r="G16" s="581" t="s">
        <v>23</v>
      </c>
    </row>
    <row r="17" spans="1:27" x14ac:dyDescent="0.2">
      <c r="A17" s="71"/>
      <c r="B17" s="132"/>
      <c r="C17" s="72" t="s">
        <v>159</v>
      </c>
      <c r="D17" s="132"/>
      <c r="E17" s="133" t="s">
        <v>36</v>
      </c>
      <c r="F17" s="552">
        <f>'[1]Page 3'!$F$17</f>
        <v>0</v>
      </c>
      <c r="G17" s="105">
        <v>0</v>
      </c>
    </row>
    <row r="18" spans="1:27" ht="15" x14ac:dyDescent="0.2">
      <c r="A18" s="89"/>
      <c r="B18" s="548"/>
      <c r="C18" t="s">
        <v>160</v>
      </c>
      <c r="D18" s="548"/>
      <c r="E18" s="65" t="s">
        <v>38</v>
      </c>
      <c r="F18" s="552">
        <f>'[1]Page 3'!$F$18</f>
        <v>0</v>
      </c>
      <c r="G18" s="551">
        <f>SUMIFS('Accounting data'!$G$2:$G$37000,'Accounting data'!$H$2:$H$37000,"1010*",'Accounting data'!$K$2:$K$37000,"685*")</f>
        <v>0</v>
      </c>
      <c r="AA18" s="134" t="str">
        <f>IF(OR(F17="",F18="",F19=""),"yes","")</f>
        <v/>
      </c>
    </row>
    <row r="19" spans="1:27" x14ac:dyDescent="0.2">
      <c r="A19" s="93"/>
      <c r="B19" s="135"/>
      <c r="C19" s="6" t="s">
        <v>161</v>
      </c>
      <c r="D19" s="135"/>
      <c r="E19" s="136" t="s">
        <v>40</v>
      </c>
      <c r="F19" s="552">
        <f>'[1]Page 3'!$F$19</f>
        <v>0</v>
      </c>
      <c r="G19" s="105">
        <v>0</v>
      </c>
    </row>
    <row r="21" spans="1:27" x14ac:dyDescent="0.2">
      <c r="D21" s="6"/>
      <c r="E21" s="137"/>
      <c r="F21" s="6"/>
    </row>
    <row r="22" spans="1:27" x14ac:dyDescent="0.2">
      <c r="A22" s="138"/>
      <c r="B22" s="139"/>
      <c r="C22" s="139"/>
      <c r="D22" s="139"/>
      <c r="E22" s="139"/>
      <c r="F22" s="74" t="s">
        <v>162</v>
      </c>
    </row>
    <row r="23" spans="1:27" x14ac:dyDescent="0.2">
      <c r="A23" s="140" t="s">
        <v>163</v>
      </c>
      <c r="B23" s="141"/>
      <c r="C23" s="141"/>
      <c r="D23" s="142"/>
      <c r="E23" s="137"/>
      <c r="F23" s="86">
        <v>1010</v>
      </c>
    </row>
    <row r="24" spans="1:27" x14ac:dyDescent="0.2">
      <c r="A24" s="71" t="s">
        <v>164</v>
      </c>
      <c r="B24" s="72"/>
      <c r="C24" s="72"/>
      <c r="D24" s="132"/>
      <c r="E24" s="660" t="s">
        <v>42</v>
      </c>
      <c r="F24" s="550">
        <f>'[2]Page 3'!$F$30</f>
        <v>50278</v>
      </c>
    </row>
    <row r="25" spans="1:27" x14ac:dyDescent="0.2">
      <c r="A25" s="212" t="s">
        <v>1256</v>
      </c>
      <c r="B25" s="212"/>
      <c r="C25" s="212"/>
      <c r="D25" s="117"/>
      <c r="E25" s="65" t="s">
        <v>44</v>
      </c>
      <c r="F25" s="54">
        <v>50277</v>
      </c>
    </row>
    <row r="26" spans="1:27" x14ac:dyDescent="0.2">
      <c r="A26" s="89"/>
      <c r="B26" t="s">
        <v>165</v>
      </c>
      <c r="D26" s="117"/>
      <c r="E26" s="660" t="s">
        <v>45</v>
      </c>
      <c r="F26" s="552">
        <f>-(SUMIFS('Accounting data'!$G$2:$G$37000,'Accounting data'!$H$2:$H$37000,"1010*",'Accounting data'!$K$2:$K$37000,"3*"))</f>
        <v>495372</v>
      </c>
    </row>
    <row r="27" spans="1:27" x14ac:dyDescent="0.2">
      <c r="A27" s="89"/>
      <c r="B27" t="s">
        <v>166</v>
      </c>
      <c r="D27" s="117"/>
      <c r="E27" s="660" t="s">
        <v>47</v>
      </c>
      <c r="F27" s="552">
        <f>-(SUMIFS('Accounting data'!$G$2:$G$37000,'Accounting data'!$H$2:$H$37000,"1010*",'Accounting data'!$K$2:$K$37000,"15*"))</f>
        <v>0</v>
      </c>
    </row>
    <row r="28" spans="1:27" x14ac:dyDescent="0.2">
      <c r="A28" s="89" t="s">
        <v>1307</v>
      </c>
      <c r="D28" s="117"/>
      <c r="E28" s="660" t="s">
        <v>49</v>
      </c>
      <c r="F28" s="552">
        <f>F26+F27</f>
        <v>495372</v>
      </c>
    </row>
    <row r="29" spans="1:27" x14ac:dyDescent="0.2">
      <c r="A29" s="89" t="s">
        <v>1308</v>
      </c>
      <c r="D29" s="117"/>
      <c r="E29" s="660" t="s">
        <v>51</v>
      </c>
      <c r="F29" s="552">
        <f>IF(F25="",F24,F25)+F28</f>
        <v>545649</v>
      </c>
    </row>
    <row r="30" spans="1:27" x14ac:dyDescent="0.2">
      <c r="A30" s="89" t="s">
        <v>1309</v>
      </c>
      <c r="D30" s="117"/>
      <c r="E30" s="660" t="s">
        <v>53</v>
      </c>
      <c r="F30" s="552">
        <f>K13+G17+G18+G19</f>
        <v>490534</v>
      </c>
    </row>
    <row r="31" spans="1:27" x14ac:dyDescent="0.2">
      <c r="A31" s="93" t="s">
        <v>1310</v>
      </c>
      <c r="B31" s="6"/>
      <c r="C31" s="6"/>
      <c r="D31" s="121"/>
      <c r="E31" s="673" t="s">
        <v>55</v>
      </c>
      <c r="F31" s="600">
        <f>F29-F30</f>
        <v>55115</v>
      </c>
    </row>
  </sheetData>
  <sheetProtection sheet="1" objects="1" scenarios="1"/>
  <mergeCells count="2">
    <mergeCell ref="J4:K4"/>
    <mergeCell ref="M12:M13"/>
  </mergeCells>
  <conditionalFormatting sqref="F25">
    <cfRule type="containsBlanks" dxfId="73" priority="1">
      <formula>LEN(TRIM(F25))=0</formula>
    </cfRule>
  </conditionalFormatting>
  <conditionalFormatting sqref="F13:I13">
    <cfRule type="expression" dxfId="72" priority="5" stopIfTrue="1">
      <formula>$M$12&lt;&gt;""</formula>
    </cfRule>
  </conditionalFormatting>
  <conditionalFormatting sqref="G17">
    <cfRule type="containsBlanks" dxfId="71" priority="3">
      <formula>LEN(TRIM(G17))=0</formula>
    </cfRule>
  </conditionalFormatting>
  <conditionalFormatting sqref="G19">
    <cfRule type="containsBlanks" dxfId="70" priority="2">
      <formula>LEN(TRIM(G19))=0</formula>
    </cfRule>
  </conditionalFormatting>
  <conditionalFormatting sqref="K13">
    <cfRule type="expression" dxfId="69" priority="4" stopIfTrue="1">
      <formula>$M$12&lt;&gt;""</formula>
    </cfRule>
  </conditionalFormatting>
  <conditionalFormatting sqref="M12">
    <cfRule type="expression" dxfId="68" priority="9" stopIfTrue="1">
      <formula>$M$12&lt;&gt;""</formula>
    </cfRule>
  </conditionalFormatting>
  <hyperlinks>
    <hyperlink ref="A7:C7" location="ClssrmSitepg3" display="Classroom Site Project 1010" xr:uid="{00000000-0004-0000-0400-000000000000}"/>
    <hyperlink ref="C11" location="CSPlines4914" display="2300 Support services—general administration" xr:uid="{00000000-0004-0000-0400-000001000000}"/>
    <hyperlink ref="C12" location="CSPlines122615" display="3300 Community services operation" xr:uid="{00000000-0004-0000-0400-000002000000}"/>
    <hyperlink ref="A16:D16" location="CSPPropertyPayments" display="Classroom Site Project 1010 property payments" xr:uid="{00000000-0004-0000-0400-000003000000}"/>
    <hyperlink ref="A25:C25" location="Page3AdjBeginProjBal" display="Adjusted beginning project balance" xr:uid="{F6C61C6D-C42F-43D9-9C3D-10CF071E938E}"/>
  </hyperlinks>
  <pageMargins left="0.7" right="0.7" top="0.75" bottom="0.75" header="0.3" footer="0.3"/>
  <pageSetup scale="82" orientation="landscape" verticalDpi="598" r:id="rId1"/>
  <headerFooter>
    <oddFooter>&amp;LRev. 8/25 Arizona Department of Education and Auditor General&amp;CFY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19C-07ED-48B7-ABA5-D6BCCEFE8DD4}">
  <dimension ref="A1:AA30"/>
  <sheetViews>
    <sheetView showGridLines="0" topLeftCell="A10" workbookViewId="0">
      <selection activeCell="G10" sqref="G10"/>
    </sheetView>
  </sheetViews>
  <sheetFormatPr defaultColWidth="8.83203125" defaultRowHeight="12.75" x14ac:dyDescent="0.2"/>
  <cols>
    <col min="1" max="1" width="1.83203125" customWidth="1"/>
    <col min="2" max="2" width="20.33203125" customWidth="1"/>
    <col min="3" max="3" width="15.33203125" customWidth="1"/>
    <col min="4" max="4" width="20" customWidth="1"/>
    <col min="5" max="5" width="5.1640625" customWidth="1"/>
    <col min="6" max="9" width="15.33203125" customWidth="1"/>
    <col min="10" max="10" width="2.6640625" bestFit="1" customWidth="1"/>
    <col min="11" max="13" width="15.33203125" customWidth="1"/>
    <col min="14" max="15" width="8.83203125" customWidth="1"/>
    <col min="16" max="24" width="8.83203125" hidden="1" customWidth="1"/>
    <col min="25" max="25" width="8.83203125" customWidth="1"/>
    <col min="26" max="26" width="20.1640625" customWidth="1"/>
    <col min="27" max="27" width="8.83203125" customWidth="1"/>
  </cols>
  <sheetData>
    <row r="1" spans="1:27" ht="12.75" customHeight="1" x14ac:dyDescent="0.2">
      <c r="A1" s="549" t="s">
        <v>0</v>
      </c>
      <c r="C1" s="808" t="str">
        <f>'Cover Page'!D1</f>
        <v>Pima Rose Academy, Inc.</v>
      </c>
      <c r="D1" s="808"/>
      <c r="F1" s="4"/>
      <c r="G1" s="62" t="s">
        <v>1</v>
      </c>
      <c r="H1" s="808" t="str">
        <f>'Cover Page'!M1</f>
        <v>Pima</v>
      </c>
      <c r="I1" s="808"/>
      <c r="J1" s="4"/>
      <c r="K1" s="62"/>
      <c r="L1" s="62" t="s">
        <v>2</v>
      </c>
      <c r="M1" s="2" t="str">
        <f>'Cover Page'!R1</f>
        <v>108602000</v>
      </c>
    </row>
    <row r="2" spans="1:27" ht="12.75" customHeight="1" x14ac:dyDescent="0.2">
      <c r="A2" s="4"/>
      <c r="B2" s="4"/>
      <c r="C2" s="4"/>
      <c r="D2" s="4"/>
      <c r="E2" s="4"/>
      <c r="F2" s="4"/>
      <c r="G2" s="4"/>
      <c r="H2" s="4"/>
      <c r="I2" s="4"/>
      <c r="J2" s="4"/>
    </row>
    <row r="3" spans="1:27" ht="12.75" customHeight="1" x14ac:dyDescent="0.2">
      <c r="A3" s="143"/>
      <c r="B3" s="72"/>
      <c r="C3" s="72"/>
      <c r="D3" s="72"/>
      <c r="E3" s="72"/>
      <c r="F3" s="143" t="s">
        <v>20</v>
      </c>
      <c r="G3" s="570" t="s">
        <v>167</v>
      </c>
      <c r="H3" s="824" t="s">
        <v>87</v>
      </c>
      <c r="I3" s="825"/>
      <c r="J3" s="4"/>
    </row>
    <row r="4" spans="1:27" ht="12.75" customHeight="1" x14ac:dyDescent="0.2">
      <c r="A4" s="116" t="s">
        <v>89</v>
      </c>
      <c r="F4" s="79" t="s">
        <v>168</v>
      </c>
      <c r="G4" s="81" t="s">
        <v>92</v>
      </c>
      <c r="H4" s="570"/>
      <c r="I4" s="144"/>
      <c r="J4" s="4"/>
    </row>
    <row r="5" spans="1:27" ht="12.75" customHeight="1" x14ac:dyDescent="0.2">
      <c r="A5" s="93"/>
      <c r="B5" s="6"/>
      <c r="C5" s="6"/>
      <c r="D5" s="6"/>
      <c r="E5" s="6"/>
      <c r="F5" s="79">
        <v>1000</v>
      </c>
      <c r="G5" s="81">
        <v>2000</v>
      </c>
      <c r="H5" s="86" t="s">
        <v>98</v>
      </c>
      <c r="I5" s="576" t="s">
        <v>23</v>
      </c>
      <c r="J5" s="4"/>
    </row>
    <row r="6" spans="1:27" ht="12.75" customHeight="1" x14ac:dyDescent="0.2">
      <c r="A6" s="87" t="s">
        <v>169</v>
      </c>
      <c r="B6" s="72"/>
      <c r="C6" s="72"/>
      <c r="D6" s="72"/>
      <c r="E6" s="145"/>
      <c r="F6" s="146"/>
      <c r="G6" s="146"/>
      <c r="H6" s="146"/>
      <c r="I6" s="146"/>
      <c r="J6" s="147"/>
    </row>
    <row r="7" spans="1:27" ht="12.75" customHeight="1" x14ac:dyDescent="0.2">
      <c r="A7" s="89"/>
      <c r="B7" t="s">
        <v>170</v>
      </c>
      <c r="E7" s="148">
        <v>1</v>
      </c>
      <c r="F7" s="53">
        <v>0</v>
      </c>
      <c r="G7" s="53">
        <v>0</v>
      </c>
      <c r="H7" s="557">
        <f>[1]!IIPTeacherCompensationIncreases</f>
        <v>0</v>
      </c>
      <c r="I7" s="557">
        <f>SUM(F7:G7)</f>
        <v>0</v>
      </c>
      <c r="J7" s="149">
        <v>1</v>
      </c>
      <c r="AA7" s="51" t="str">
        <f>IF(OR(F7="",F8="",F9="",F10="",G7="",G9="",G10="",G24="",G25="",G26="",G27="",G28=""),"yes","")</f>
        <v/>
      </c>
    </row>
    <row r="8" spans="1:27" ht="12.75" customHeight="1" x14ac:dyDescent="0.2">
      <c r="A8" s="89"/>
      <c r="B8" t="s">
        <v>171</v>
      </c>
      <c r="E8" s="150">
        <v>2</v>
      </c>
      <c r="F8" s="53">
        <v>0</v>
      </c>
      <c r="G8" s="151"/>
      <c r="H8" s="550">
        <f>[1]!IIPClassSizeReduction</f>
        <v>0</v>
      </c>
      <c r="I8" s="552">
        <f>SUM(F8:G8)</f>
        <v>0</v>
      </c>
      <c r="J8" s="149">
        <v>2</v>
      </c>
    </row>
    <row r="9" spans="1:27" ht="12.75" customHeight="1" x14ac:dyDescent="0.2">
      <c r="A9" s="89"/>
      <c r="B9" t="s">
        <v>172</v>
      </c>
      <c r="E9" s="150">
        <v>3</v>
      </c>
      <c r="F9" s="52">
        <v>0</v>
      </c>
      <c r="G9" s="52">
        <v>0</v>
      </c>
      <c r="H9" s="550">
        <f>[1]!IIPDropoutPreventionPrograms</f>
        <v>0</v>
      </c>
      <c r="I9" s="552">
        <f>SUM(F9:G9)</f>
        <v>0</v>
      </c>
      <c r="J9" s="149">
        <v>3</v>
      </c>
    </row>
    <row r="10" spans="1:27" ht="12.75" customHeight="1" x14ac:dyDescent="0.2">
      <c r="A10" s="89"/>
      <c r="B10" t="s">
        <v>173</v>
      </c>
      <c r="E10" s="150">
        <v>4</v>
      </c>
      <c r="F10" s="52">
        <v>0</v>
      </c>
      <c r="G10" s="52">
        <v>33729</v>
      </c>
      <c r="H10" s="550">
        <f>[1]!IIPInstructionalImprovementPrograms</f>
        <v>18680</v>
      </c>
      <c r="I10" s="552">
        <f>SUM(F10:G10)</f>
        <v>33729</v>
      </c>
      <c r="J10" s="149">
        <v>4</v>
      </c>
      <c r="K10" s="803" t="str">
        <f>IF('Page 2'!J48=0,"",IF(('Page 4'!I11=0),"If the Charter did not have any expense, verify by checking the box in A18 on the Cover Page.",""))</f>
        <v/>
      </c>
      <c r="L10" s="803"/>
      <c r="M10" s="803"/>
      <c r="N10" s="803"/>
      <c r="O10" s="803"/>
      <c r="P10" s="803"/>
      <c r="Q10" s="803"/>
      <c r="R10" s="803"/>
      <c r="S10" s="803"/>
      <c r="T10" s="803"/>
      <c r="U10" s="803"/>
      <c r="V10" s="803"/>
      <c r="W10" s="803"/>
      <c r="X10" s="803"/>
      <c r="Y10" s="803"/>
      <c r="Z10" s="803"/>
    </row>
    <row r="11" spans="1:27" ht="12.75" customHeight="1" x14ac:dyDescent="0.2">
      <c r="A11" s="93" t="s">
        <v>174</v>
      </c>
      <c r="B11" s="6"/>
      <c r="C11" s="6"/>
      <c r="D11" s="6"/>
      <c r="E11" s="152">
        <v>5</v>
      </c>
      <c r="F11" s="552">
        <f>SUM(F6:F10)</f>
        <v>0</v>
      </c>
      <c r="G11" s="552">
        <f>SUM(G6:G10)</f>
        <v>33729</v>
      </c>
      <c r="H11" s="552">
        <f>SUM(H7:H10)</f>
        <v>18680</v>
      </c>
      <c r="I11" s="552">
        <f>SUM(I7:I10)</f>
        <v>33729</v>
      </c>
      <c r="J11" s="149">
        <v>5</v>
      </c>
      <c r="K11" s="803" t="str">
        <f>IF('Page 2'!J48=0,"",IF(('Page 4'!I11&lt;&gt;'Page 2'!J44),"Total expenses for Instructional Improvement Project on line 5 should agree to the line 35 on page 2.",""))</f>
        <v/>
      </c>
      <c r="L11" s="803"/>
      <c r="M11" s="803"/>
      <c r="N11" s="803"/>
      <c r="O11" s="803"/>
      <c r="P11" s="803"/>
      <c r="Q11" s="803"/>
      <c r="R11" s="803"/>
      <c r="S11" s="803"/>
      <c r="T11" s="803"/>
      <c r="U11" s="803"/>
      <c r="V11" s="803"/>
      <c r="W11" s="803"/>
      <c r="X11" s="803"/>
      <c r="Y11" s="803"/>
      <c r="Z11" s="803"/>
    </row>
    <row r="12" spans="1:27" ht="12.75" customHeight="1" x14ac:dyDescent="0.2">
      <c r="K12" s="567"/>
    </row>
    <row r="13" spans="1:27" ht="12.75" customHeight="1" x14ac:dyDescent="0.2">
      <c r="A13" s="71"/>
      <c r="B13" s="72"/>
      <c r="C13" s="72"/>
      <c r="D13" s="72"/>
      <c r="E13" s="73"/>
      <c r="F13" s="83"/>
    </row>
    <row r="14" spans="1:27" ht="12.75" customHeight="1" x14ac:dyDescent="0.2">
      <c r="A14" s="84" t="s">
        <v>175</v>
      </c>
      <c r="B14" s="6"/>
      <c r="C14" s="6"/>
      <c r="D14" s="6"/>
      <c r="E14" s="85"/>
      <c r="F14" s="153" t="s">
        <v>23</v>
      </c>
    </row>
    <row r="15" spans="1:27" ht="12.75" customHeight="1" x14ac:dyDescent="0.2">
      <c r="A15" s="89" t="s">
        <v>164</v>
      </c>
      <c r="B15" s="4"/>
      <c r="D15" s="154"/>
      <c r="E15" s="155">
        <v>6</v>
      </c>
      <c r="F15" s="550">
        <f>[2]!AddlInstrImprProjEndBal</f>
        <v>0</v>
      </c>
      <c r="G15" s="149">
        <v>6</v>
      </c>
      <c r="I15" s="567"/>
      <c r="J15" s="567"/>
    </row>
    <row r="16" spans="1:27" ht="12.75" customHeight="1" x14ac:dyDescent="0.2">
      <c r="A16" s="666" t="s">
        <v>1256</v>
      </c>
      <c r="B16" s="665"/>
      <c r="C16" s="665"/>
      <c r="D16" s="154"/>
      <c r="E16" s="676">
        <v>7</v>
      </c>
      <c r="F16" s="54">
        <v>0</v>
      </c>
      <c r="G16" s="678">
        <v>7</v>
      </c>
      <c r="I16" s="567"/>
      <c r="J16" s="567"/>
    </row>
    <row r="17" spans="1:12" ht="12.75" customHeight="1" x14ac:dyDescent="0.2">
      <c r="A17" s="156" t="s">
        <v>165</v>
      </c>
      <c r="B17" s="29"/>
      <c r="D17" s="157"/>
      <c r="E17" s="676">
        <v>8</v>
      </c>
      <c r="F17" s="552">
        <f>-(SUMIFS('Accounting data'!$G$2:$G$37000,'Accounting data'!$H$2:$H$37000,"1020*",'Accounting data'!$K$2:$K$37000,"1*")+SUMIFS('Accounting data'!$G$2:$G$37000,'Accounting data'!$H$2:$H$37000,"1020*",'Accounting data'!$K$2:$K$37000,"2*")+SUMIFS('Accounting data'!$G$2:$G$37000,'Accounting data'!$H$2:$H$37000,"1020*",'Accounting data'!$K$2:$K$37000,"3*")+SUMIFS('Accounting data'!$G$2:$G$37000,'Accounting data'!$H$2:$H$37000,"1020*",'Accounting data'!$K$2:$K$37000,"4*")+SUMIFS('Accounting data'!$G$2:$G$37000,'Accounting data'!$H$2:$H$37000,"1020*",'Accounting data'!$K$2:$K$37000,"Other*"))</f>
        <v>33729</v>
      </c>
      <c r="G17" s="678">
        <v>8</v>
      </c>
      <c r="I17" s="567"/>
      <c r="J17" s="567"/>
    </row>
    <row r="18" spans="1:12" ht="12.75" customHeight="1" x14ac:dyDescent="0.2">
      <c r="A18" s="674" t="s">
        <v>1311</v>
      </c>
      <c r="B18" s="29"/>
      <c r="D18" s="157"/>
      <c r="E18" s="676">
        <v>9</v>
      </c>
      <c r="F18" s="552">
        <f>IF(F16="",F15,F16)+F17</f>
        <v>33729</v>
      </c>
      <c r="G18" s="678">
        <v>9</v>
      </c>
      <c r="I18" s="567"/>
      <c r="J18" s="567"/>
    </row>
    <row r="19" spans="1:12" ht="12.75" customHeight="1" x14ac:dyDescent="0.2">
      <c r="A19" s="674" t="s">
        <v>176</v>
      </c>
      <c r="D19" s="157"/>
      <c r="E19" s="676">
        <v>10</v>
      </c>
      <c r="F19" s="552">
        <f>ActualTotalInstImpExp</f>
        <v>33729</v>
      </c>
      <c r="G19" s="678">
        <v>10</v>
      </c>
      <c r="I19" s="567"/>
      <c r="J19" s="567"/>
    </row>
    <row r="20" spans="1:12" ht="12.75" customHeight="1" x14ac:dyDescent="0.2">
      <c r="A20" s="675" t="s">
        <v>1312</v>
      </c>
      <c r="B20" s="6"/>
      <c r="C20" s="6"/>
      <c r="D20" s="158"/>
      <c r="E20" s="677">
        <v>11</v>
      </c>
      <c r="F20" s="600">
        <f>F18-F19</f>
        <v>0</v>
      </c>
      <c r="G20" s="678">
        <v>11</v>
      </c>
    </row>
    <row r="21" spans="1:12" ht="12.75" customHeight="1" x14ac:dyDescent="0.2">
      <c r="A21" s="154"/>
      <c r="D21" s="154"/>
      <c r="E21" s="155"/>
      <c r="F21" s="159"/>
      <c r="G21" s="149"/>
    </row>
    <row r="22" spans="1:12" ht="12.75" customHeight="1" x14ac:dyDescent="0.2">
      <c r="A22" s="71"/>
      <c r="B22" s="72"/>
      <c r="C22" s="72"/>
      <c r="D22" s="160"/>
      <c r="E22" s="161"/>
      <c r="F22" s="162"/>
      <c r="G22" s="162"/>
      <c r="H22" s="149"/>
    </row>
    <row r="23" spans="1:12" ht="12.75" customHeight="1" x14ac:dyDescent="0.2">
      <c r="A23" s="827" t="s">
        <v>177</v>
      </c>
      <c r="B23" s="827"/>
      <c r="C23" s="827"/>
      <c r="D23" s="827"/>
      <c r="E23" s="163"/>
      <c r="F23" s="164" t="s">
        <v>98</v>
      </c>
      <c r="G23" s="164" t="s">
        <v>23</v>
      </c>
      <c r="H23" s="165"/>
    </row>
    <row r="24" spans="1:12" ht="12.75" customHeight="1" x14ac:dyDescent="0.2">
      <c r="A24" s="166"/>
      <c r="B24" s="72" t="s">
        <v>178</v>
      </c>
      <c r="C24" s="72"/>
      <c r="D24" s="167"/>
      <c r="E24" s="168">
        <v>1</v>
      </c>
      <c r="F24" s="169"/>
      <c r="G24" s="54">
        <v>0</v>
      </c>
      <c r="H24" s="170">
        <v>1</v>
      </c>
    </row>
    <row r="25" spans="1:12" ht="12.75" customHeight="1" x14ac:dyDescent="0.2">
      <c r="A25" s="171"/>
      <c r="B25" t="s">
        <v>179</v>
      </c>
      <c r="D25" s="157"/>
      <c r="E25" s="172">
        <v>2</v>
      </c>
      <c r="F25" s="169"/>
      <c r="G25" s="54">
        <v>0</v>
      </c>
      <c r="H25" s="170">
        <v>2</v>
      </c>
    </row>
    <row r="26" spans="1:12" ht="12.75" customHeight="1" x14ac:dyDescent="0.2">
      <c r="A26" s="171"/>
      <c r="B26" t="s">
        <v>180</v>
      </c>
      <c r="D26" s="157"/>
      <c r="E26" s="172">
        <v>3</v>
      </c>
      <c r="F26" s="169"/>
      <c r="G26" s="54">
        <v>0</v>
      </c>
      <c r="H26" s="170">
        <v>3</v>
      </c>
    </row>
    <row r="27" spans="1:12" ht="12.75" customHeight="1" x14ac:dyDescent="0.2">
      <c r="A27" s="171"/>
      <c r="B27" t="s">
        <v>181</v>
      </c>
      <c r="D27" s="157"/>
      <c r="E27" s="172">
        <v>4</v>
      </c>
      <c r="F27" s="169"/>
      <c r="G27" s="54">
        <v>0</v>
      </c>
      <c r="H27" s="170">
        <v>4</v>
      </c>
    </row>
    <row r="28" spans="1:12" ht="12.75" customHeight="1" x14ac:dyDescent="0.2">
      <c r="A28" s="171"/>
      <c r="B28" t="s">
        <v>182</v>
      </c>
      <c r="D28" s="157"/>
      <c r="E28" s="172">
        <v>5</v>
      </c>
      <c r="F28" s="169"/>
      <c r="G28" s="54">
        <v>0</v>
      </c>
      <c r="H28" s="170">
        <v>5</v>
      </c>
    </row>
    <row r="29" spans="1:12" ht="12.75" customHeight="1" x14ac:dyDescent="0.2">
      <c r="A29" s="93" t="s">
        <v>183</v>
      </c>
      <c r="B29" s="6"/>
      <c r="C29" s="6"/>
      <c r="D29" s="6"/>
      <c r="E29" s="173">
        <v>6</v>
      </c>
      <c r="F29" s="550">
        <f>'[1]Page 2'!$E$34</f>
        <v>0</v>
      </c>
      <c r="G29" s="552">
        <f>SUM(G24:G28)</f>
        <v>0</v>
      </c>
      <c r="H29" s="170">
        <v>6</v>
      </c>
      <c r="I29" s="4"/>
      <c r="J29" s="4"/>
      <c r="K29" s="4"/>
      <c r="L29" s="4"/>
    </row>
    <row r="30" spans="1:12" ht="12.75" customHeight="1" x14ac:dyDescent="0.2">
      <c r="F30" s="174"/>
      <c r="G30" s="174"/>
      <c r="H30" s="174"/>
      <c r="I30" s="174"/>
      <c r="J30" s="174"/>
      <c r="K30" s="175"/>
      <c r="L30" s="174"/>
    </row>
  </sheetData>
  <sheetProtection sheet="1" formatCells="0" formatColumns="0" formatRows="0"/>
  <mergeCells count="6">
    <mergeCell ref="A23:D23"/>
    <mergeCell ref="K11:Z11"/>
    <mergeCell ref="H1:I1"/>
    <mergeCell ref="H3:I3"/>
    <mergeCell ref="C1:D1"/>
    <mergeCell ref="K10:Z10"/>
  </mergeCells>
  <conditionalFormatting sqref="F16">
    <cfRule type="containsBlanks" dxfId="67" priority="1">
      <formula>LEN(TRIM(F16))=0</formula>
    </cfRule>
  </conditionalFormatting>
  <conditionalFormatting sqref="G24:G28">
    <cfRule type="expression" dxfId="66" priority="5" stopIfTrue="1">
      <formula>G24=""</formula>
    </cfRule>
  </conditionalFormatting>
  <conditionalFormatting sqref="G7:I7 F7:F10 G9:G10">
    <cfRule type="expression" dxfId="65" priority="6" stopIfTrue="1">
      <formula>F7=""</formula>
    </cfRule>
  </conditionalFormatting>
  <conditionalFormatting sqref="K10:Z10">
    <cfRule type="expression" dxfId="64" priority="2" stopIfTrue="1">
      <formula>$K$10&lt;&gt;""</formula>
    </cfRule>
    <cfRule type="expression" dxfId="63" priority="3" stopIfTrue="1">
      <formula>"K10&lt;&gt;"""""</formula>
    </cfRule>
  </conditionalFormatting>
  <conditionalFormatting sqref="K11:Z11">
    <cfRule type="expression" dxfId="62" priority="7" stopIfTrue="1">
      <formula>$K$11&lt;&gt;""</formula>
    </cfRule>
  </conditionalFormatting>
  <hyperlinks>
    <hyperlink ref="A23:D23" location="ArizonaIndustryCredentialsIncentive" display="Arizona Industry Credentials Incentive Project—detailed expenses" xr:uid="{00000000-0004-0000-0500-000000000000}"/>
    <hyperlink ref="A16:C16" location="Page4AdjBeginProjBal" display="Adjusted beginning project balance" xr:uid="{E0142B6F-FF82-46B0-BD92-45EF6A8673A6}"/>
  </hyperlinks>
  <pageMargins left="0.7" right="0.7" top="0.75" bottom="0.75" header="0.3" footer="0.3"/>
  <pageSetup scale="77" orientation="landscape" verticalDpi="598" r:id="rId1"/>
  <headerFooter>
    <oddFooter>&amp;LRev. 8/25 Arizona Department of Education and Auditor General&amp;CFY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8DB-0724-440E-87A7-0293D325255D}">
  <sheetPr>
    <pageSetUpPr fitToPage="1"/>
  </sheetPr>
  <dimension ref="A1:Q48"/>
  <sheetViews>
    <sheetView showGridLines="0" topLeftCell="A30" workbookViewId="0">
      <selection activeCell="G49" sqref="G49"/>
    </sheetView>
  </sheetViews>
  <sheetFormatPr defaultColWidth="9.33203125" defaultRowHeight="12.75" x14ac:dyDescent="0.2"/>
  <cols>
    <col min="1" max="1" width="1.83203125" customWidth="1"/>
    <col min="2" max="2" width="2" customWidth="1"/>
    <col min="3" max="3" width="17" customWidth="1"/>
    <col min="4" max="4" width="24" customWidth="1"/>
    <col min="5" max="5" width="4.33203125" bestFit="1" customWidth="1"/>
    <col min="6" max="10" width="12.83203125" customWidth="1"/>
    <col min="11" max="11" width="14.83203125" customWidth="1"/>
    <col min="12" max="16" width="12.83203125" customWidth="1"/>
    <col min="17" max="17" width="3.6640625" bestFit="1" customWidth="1"/>
  </cols>
  <sheetData>
    <row r="1" spans="1:17" ht="12" customHeight="1" x14ac:dyDescent="0.2">
      <c r="A1" s="549" t="s">
        <v>0</v>
      </c>
      <c r="D1" s="808" t="str">
        <f>'Cover Page'!D1</f>
        <v>Pima Rose Academy, Inc.</v>
      </c>
      <c r="E1" s="808"/>
      <c r="F1" s="4"/>
      <c r="G1" s="4"/>
      <c r="H1" s="4"/>
      <c r="J1" s="62" t="s">
        <v>1</v>
      </c>
      <c r="K1" s="808" t="str">
        <f>'Cover Page'!M1</f>
        <v>Pima</v>
      </c>
      <c r="L1" s="808"/>
      <c r="N1" s="62" t="s">
        <v>2</v>
      </c>
      <c r="O1" s="62"/>
      <c r="P1" s="2" t="str">
        <f>'Cover Page'!R1</f>
        <v>108602000</v>
      </c>
    </row>
    <row r="2" spans="1:17" ht="12" customHeight="1" x14ac:dyDescent="0.2">
      <c r="A2" s="69"/>
      <c r="B2" s="69"/>
      <c r="C2" s="69"/>
      <c r="D2" s="69"/>
      <c r="E2" s="69"/>
      <c r="F2" s="69"/>
      <c r="G2" s="69"/>
      <c r="H2" s="69"/>
      <c r="I2" s="69"/>
      <c r="J2" s="69"/>
      <c r="K2" s="69"/>
    </row>
    <row r="3" spans="1:17" ht="12" customHeight="1" x14ac:dyDescent="0.2">
      <c r="A3" s="87"/>
      <c r="B3" s="72"/>
      <c r="C3" s="72"/>
      <c r="D3" s="72"/>
      <c r="E3" s="73"/>
      <c r="F3" s="177" t="s">
        <v>184</v>
      </c>
      <c r="G3" s="832" t="s">
        <v>1258</v>
      </c>
      <c r="H3" s="73"/>
      <c r="I3" s="570"/>
      <c r="J3" s="178" t="s">
        <v>185</v>
      </c>
      <c r="K3" s="570" t="s">
        <v>86</v>
      </c>
      <c r="L3" s="73"/>
      <c r="M3" s="83"/>
      <c r="N3" s="824" t="s">
        <v>186</v>
      </c>
      <c r="O3" s="837"/>
      <c r="P3" s="570" t="s">
        <v>187</v>
      </c>
    </row>
    <row r="4" spans="1:17" ht="12" customHeight="1" x14ac:dyDescent="0.2">
      <c r="A4" s="95" t="s">
        <v>188</v>
      </c>
      <c r="E4" s="78"/>
      <c r="F4" s="81" t="s">
        <v>189</v>
      </c>
      <c r="G4" s="833"/>
      <c r="H4" s="144" t="s">
        <v>23</v>
      </c>
      <c r="I4" s="81" t="s">
        <v>90</v>
      </c>
      <c r="J4" s="79" t="s">
        <v>91</v>
      </c>
      <c r="K4" s="81" t="s">
        <v>92</v>
      </c>
      <c r="L4" s="144" t="s">
        <v>93</v>
      </c>
      <c r="M4" s="81" t="s">
        <v>94</v>
      </c>
      <c r="N4" s="179"/>
      <c r="P4" s="81" t="s">
        <v>189</v>
      </c>
    </row>
    <row r="5" spans="1:17" ht="12" customHeight="1" x14ac:dyDescent="0.2">
      <c r="A5" s="93"/>
      <c r="B5" s="6"/>
      <c r="C5" s="6"/>
      <c r="D5" s="6"/>
      <c r="E5" s="180"/>
      <c r="F5" s="86" t="s">
        <v>190</v>
      </c>
      <c r="G5" s="834"/>
      <c r="H5" s="181" t="s">
        <v>191</v>
      </c>
      <c r="I5" s="86">
        <v>6100</v>
      </c>
      <c r="J5" s="575">
        <v>6200</v>
      </c>
      <c r="K5" s="86" t="s">
        <v>97</v>
      </c>
      <c r="L5" s="576">
        <v>6600</v>
      </c>
      <c r="M5" s="86">
        <v>6800</v>
      </c>
      <c r="N5" s="182" t="s">
        <v>98</v>
      </c>
      <c r="O5" s="183" t="s">
        <v>23</v>
      </c>
      <c r="P5" s="86" t="s">
        <v>190</v>
      </c>
    </row>
    <row r="6" spans="1:17" ht="11.25" customHeight="1" x14ac:dyDescent="0.2">
      <c r="A6" s="87" t="s">
        <v>192</v>
      </c>
      <c r="B6" s="72"/>
      <c r="C6" s="72"/>
      <c r="D6" s="72"/>
      <c r="F6" s="830"/>
      <c r="G6" s="571"/>
      <c r="H6" s="830"/>
      <c r="I6" s="830"/>
      <c r="J6" s="830"/>
      <c r="K6" s="830"/>
      <c r="L6" s="830"/>
      <c r="M6" s="830"/>
      <c r="N6" s="830"/>
      <c r="O6" s="571"/>
      <c r="P6" s="830"/>
    </row>
    <row r="7" spans="1:17" ht="11.25" customHeight="1" x14ac:dyDescent="0.2">
      <c r="A7" s="116" t="s">
        <v>165</v>
      </c>
      <c r="E7" s="184"/>
      <c r="F7" s="831"/>
      <c r="G7" s="646"/>
      <c r="H7" s="831"/>
      <c r="I7" s="831"/>
      <c r="J7" s="831"/>
      <c r="K7" s="831"/>
      <c r="L7" s="831"/>
      <c r="M7" s="831"/>
      <c r="N7" s="831"/>
      <c r="O7" s="572"/>
      <c r="P7" s="831"/>
    </row>
    <row r="8" spans="1:17" ht="12" customHeight="1" x14ac:dyDescent="0.2">
      <c r="A8" s="116"/>
      <c r="B8" t="s">
        <v>193</v>
      </c>
      <c r="E8" s="184">
        <v>1</v>
      </c>
      <c r="F8" s="185"/>
      <c r="G8" s="185"/>
      <c r="H8" s="552">
        <f>-(SUMIFS('Accounting data'!$G$2:$G$37000,'Accounting data'!$H$2:$H$37000,"1071*",'Accounting data'!$K$2:$K$37000,"32*"))</f>
        <v>0</v>
      </c>
      <c r="I8" s="185"/>
      <c r="J8" s="185"/>
      <c r="K8" s="185"/>
      <c r="L8" s="185"/>
      <c r="M8" s="185"/>
      <c r="N8" s="185"/>
      <c r="O8" s="185"/>
      <c r="P8" s="185"/>
      <c r="Q8" s="149">
        <v>1</v>
      </c>
    </row>
    <row r="9" spans="1:17" ht="12" customHeight="1" x14ac:dyDescent="0.2">
      <c r="A9" s="116"/>
      <c r="B9" t="s">
        <v>194</v>
      </c>
      <c r="E9" s="184">
        <v>2</v>
      </c>
      <c r="F9" s="185"/>
      <c r="G9" s="185"/>
      <c r="H9" s="552">
        <f>-(SUMIFS('Accounting data'!$G$2:$G$37000,'Accounting data'!$H$2:$H$37000,"1071*",'Accounting data'!$K$2:$K$37000,"15*"))</f>
        <v>0</v>
      </c>
      <c r="I9" s="185"/>
      <c r="J9" s="185"/>
      <c r="K9" s="185"/>
      <c r="L9" s="185"/>
      <c r="M9" s="185"/>
      <c r="N9" s="185"/>
      <c r="O9" s="185"/>
      <c r="P9" s="185"/>
      <c r="Q9" s="149">
        <v>2</v>
      </c>
    </row>
    <row r="10" spans="1:17" ht="12" customHeight="1" x14ac:dyDescent="0.2">
      <c r="A10" s="89" t="s">
        <v>195</v>
      </c>
      <c r="E10" s="184">
        <v>3</v>
      </c>
      <c r="F10" s="185"/>
      <c r="G10" s="185"/>
      <c r="H10" s="552">
        <f>SUM(H8:H9)</f>
        <v>0</v>
      </c>
      <c r="I10" s="186"/>
      <c r="J10" s="186"/>
      <c r="K10" s="186"/>
      <c r="L10" s="186"/>
      <c r="M10" s="186"/>
      <c r="N10" s="185"/>
      <c r="O10" s="185"/>
      <c r="P10" s="185"/>
      <c r="Q10" s="149">
        <v>3</v>
      </c>
    </row>
    <row r="11" spans="1:17" ht="11.25" customHeight="1" x14ac:dyDescent="0.2">
      <c r="A11" s="116" t="s">
        <v>89</v>
      </c>
      <c r="E11" s="187"/>
      <c r="F11" s="188"/>
      <c r="G11" s="647"/>
      <c r="H11" s="840"/>
      <c r="I11" s="189"/>
      <c r="J11" s="189"/>
      <c r="K11" s="189"/>
      <c r="L11" s="189"/>
      <c r="M11" s="189"/>
      <c r="N11" s="189"/>
      <c r="O11" s="189"/>
      <c r="P11" s="190"/>
    </row>
    <row r="12" spans="1:17" ht="12" customHeight="1" x14ac:dyDescent="0.2">
      <c r="A12" s="89" t="s">
        <v>196</v>
      </c>
      <c r="F12" s="191"/>
      <c r="G12" s="648"/>
      <c r="H12" s="841"/>
      <c r="I12" s="192"/>
      <c r="J12" s="192"/>
      <c r="K12" s="192"/>
      <c r="L12" s="192"/>
      <c r="M12" s="192"/>
      <c r="N12" s="192"/>
      <c r="O12" s="192"/>
      <c r="P12" s="193"/>
    </row>
    <row r="13" spans="1:17" ht="12" customHeight="1" x14ac:dyDescent="0.2">
      <c r="A13" s="89"/>
      <c r="B13" t="s">
        <v>197</v>
      </c>
      <c r="E13" s="187">
        <v>4</v>
      </c>
      <c r="F13" s="194"/>
      <c r="G13" s="649"/>
      <c r="H13" s="842"/>
      <c r="I13" s="557">
        <f>SUMIFS('Accounting data'!$G$2:$G$37000,'Accounting data'!$H$2:$H$37000,"1071*",'Accounting data'!$I$2:$I$37000,"260*",'Accounting data'!$J$2:$J$37000,"1*",'Accounting data'!$K$2:$K$37000,"61*")</f>
        <v>0</v>
      </c>
      <c r="J13" s="557">
        <f>SUMIFS('Accounting data'!$G$2:$G$37000,'Accounting data'!$H$2:$H$37000,"1071*",'Accounting data'!$I$2:$I$37000,"260*",'Accounting data'!$J$2:$J$37000,"1*",'Accounting data'!$K$2:$K$37000,"62*")</f>
        <v>0</v>
      </c>
      <c r="K13" s="557">
        <f>SUMIFS('Accounting data'!$G$2:$G$37000,'Accounting data'!$H$2:$H$37000,"1071*",'Accounting data'!$I$2:$I$37000,"260*",'Accounting data'!$J$2:$J$37000,"1*",'Accounting data'!$K$2:$K$37000,"63*")</f>
        <v>0</v>
      </c>
      <c r="L13" s="557">
        <f>SUMIFS('Accounting data'!$G$2:$G$37000,'Accounting data'!$H$2:$H$37000,"1071*",'Accounting data'!$I$2:$I$37000,"260*",'Accounting data'!$J$2:$J$37000,"1*",'Accounting data'!$K$2:$K$37000,"66*")</f>
        <v>0</v>
      </c>
      <c r="M13" s="557">
        <f>SUMIFS('Accounting data'!$G$2:$G$37000,'Accounting data'!$H$2:$H$37000,"1071*",'Accounting data'!$I$2:$I$37000,"260*",'Accounting data'!$J$2:$J$37000,"1*",'Accounting data'!$K$2:$K$37000,"68*")</f>
        <v>0</v>
      </c>
      <c r="N13" s="557">
        <f>[1]!SEIP1071P260F1000</f>
        <v>0</v>
      </c>
      <c r="O13" s="557">
        <f>SUM(I13:M13)</f>
        <v>0</v>
      </c>
      <c r="P13" s="195"/>
      <c r="Q13" s="149">
        <v>4</v>
      </c>
    </row>
    <row r="14" spans="1:17" ht="12" customHeight="1" x14ac:dyDescent="0.2">
      <c r="A14" s="89"/>
      <c r="B14" t="s">
        <v>198</v>
      </c>
      <c r="F14" s="188"/>
      <c r="G14" s="647"/>
      <c r="H14" s="840"/>
      <c r="I14" s="192"/>
      <c r="J14" s="192"/>
      <c r="K14" s="192"/>
      <c r="L14" s="192"/>
      <c r="M14" s="192"/>
      <c r="N14" s="838">
        <f>[1]!SEIP1071P260F2100</f>
        <v>0</v>
      </c>
      <c r="O14" s="844">
        <f>SUM(I15:M15)</f>
        <v>0</v>
      </c>
      <c r="P14" s="190"/>
    </row>
    <row r="15" spans="1:17" ht="12" customHeight="1" x14ac:dyDescent="0.2">
      <c r="A15" s="89"/>
      <c r="C15" t="s">
        <v>199</v>
      </c>
      <c r="E15" s="184">
        <v>5</v>
      </c>
      <c r="F15" s="194"/>
      <c r="G15" s="649"/>
      <c r="H15" s="842"/>
      <c r="I15" s="557">
        <f>SUMIFS('Accounting data'!$G$2:$G$37000,'Accounting data'!$H$2:$H$37000,"1071*",'Accounting data'!$I$2:$I$37000,"260*",'Accounting data'!$J$2:$J$37000,"21*",'Accounting data'!$K$2:$K$37000,"61*")</f>
        <v>0</v>
      </c>
      <c r="J15" s="557">
        <f>SUMIFS('Accounting data'!$G$2:$G$37000,'Accounting data'!$H$2:$H$37000,"1071*",'Accounting data'!$I$2:$I$37000,"260*",'Accounting data'!$J$2:$J$37000,"21*",'Accounting data'!$K$2:$K$37000,"62*")</f>
        <v>0</v>
      </c>
      <c r="K15" s="557">
        <f>SUMIFS('Accounting data'!$G$2:$G$37000,'Accounting data'!$H$2:$H$37000,"1071*",'Accounting data'!$I$2:$I$37000,"260*",'Accounting data'!$J$2:$J$37000,"21*",'Accounting data'!$K$2:$K$37000,"63*")</f>
        <v>0</v>
      </c>
      <c r="L15" s="557">
        <f>SUMIFS('Accounting data'!$G$2:$G$37000,'Accounting data'!$H$2:$H$37000,"1071*",'Accounting data'!$I$2:$I$37000,"260*",'Accounting data'!$J$2:$J$37000,"21*",'Accounting data'!$K$2:$K$37000,"66*")</f>
        <v>0</v>
      </c>
      <c r="M15" s="557">
        <f>SUMIFS('Accounting data'!$G$2:$G$37000,'Accounting data'!$H$2:$H$37000,"1071*",'Accounting data'!$I$2:$I$37000,"260*",'Accounting data'!$J$2:$J$37000,"21*",'Accounting data'!$K$2:$K$37000,"68*")</f>
        <v>0</v>
      </c>
      <c r="N15" s="839"/>
      <c r="O15" s="845"/>
      <c r="P15" s="195"/>
      <c r="Q15" s="149">
        <v>5</v>
      </c>
    </row>
    <row r="16" spans="1:17" ht="12" customHeight="1" x14ac:dyDescent="0.2">
      <c r="A16" s="89"/>
      <c r="C16" t="s">
        <v>200</v>
      </c>
      <c r="E16" s="187">
        <v>6</v>
      </c>
      <c r="F16" s="196"/>
      <c r="G16" s="650"/>
      <c r="H16" s="197"/>
      <c r="I16" s="557">
        <f>SUMIFS('Accounting data'!$G$2:$G$37000,'Accounting data'!$H$2:$H$37000,"1071*",'Accounting data'!$I$2:$I$37000,"260*",'Accounting data'!$J$2:$J$37000,"22*",'Accounting data'!$K$2:$K$37000,"61*")</f>
        <v>0</v>
      </c>
      <c r="J16" s="557">
        <f>SUMIFS('Accounting data'!$G$2:$G$37000,'Accounting data'!$H$2:$H$37000,"1071*",'Accounting data'!$I$2:$I$37000,"260*",'Accounting data'!$J$2:$J$37000,"22*",'Accounting data'!$K$2:$K$37000,"62*")</f>
        <v>0</v>
      </c>
      <c r="K16" s="557">
        <f>SUMIFS('Accounting data'!$G$2:$G$37000,'Accounting data'!$H$2:$H$37000,"1071*",'Accounting data'!$I$2:$I$37000,"260*",'Accounting data'!$J$2:$J$37000,"22*",'Accounting data'!$K$2:$K$37000,"63*")</f>
        <v>0</v>
      </c>
      <c r="L16" s="557">
        <f>SUMIFS('Accounting data'!$G$2:$G$37000,'Accounting data'!$H$2:$H$37000,"1071*",'Accounting data'!$I$2:$I$37000,"260*",'Accounting data'!$J$2:$J$37000,"22*",'Accounting data'!$K$2:$K$37000,"66*")</f>
        <v>0</v>
      </c>
      <c r="M16" s="557">
        <f>SUMIFS('Accounting data'!$G$2:$G$37000,'Accounting data'!$H$2:$H$37000,"1071*",'Accounting data'!$I$2:$I$37000,"260*",'Accounting data'!$J$2:$J$37000,"22*",'Accounting data'!$K$2:$K$37000,"68*")</f>
        <v>0</v>
      </c>
      <c r="N16" s="550">
        <f>[1]!SEIP1071P260F2200</f>
        <v>0</v>
      </c>
      <c r="O16" s="552">
        <f t="shared" ref="O16:O21" si="0">SUM(I16:M16)</f>
        <v>0</v>
      </c>
      <c r="P16" s="198"/>
      <c r="Q16" s="149">
        <v>6</v>
      </c>
    </row>
    <row r="17" spans="1:17" ht="12" customHeight="1" x14ac:dyDescent="0.2">
      <c r="A17" s="89"/>
      <c r="C17" t="s">
        <v>201</v>
      </c>
      <c r="E17" s="184">
        <v>7</v>
      </c>
      <c r="F17" s="196"/>
      <c r="G17" s="650"/>
      <c r="H17" s="197"/>
      <c r="I17" s="552">
        <f>SUMIFS('Accounting data'!$G$2:$G$37000,'Accounting data'!$H$2:$H$37000,"1071*",'Accounting data'!$I$2:$I$37000,"260*",'Accounting data'!$J$2:$J$37000,"23*",'Accounting data'!$K$2:$K$37000,"61*")</f>
        <v>0</v>
      </c>
      <c r="J17" s="552">
        <f>SUMIFS('Accounting data'!$G$2:$G$37000,'Accounting data'!$H$2:$H$37000,"1071*",'Accounting data'!$I$2:$I$37000,"260*",'Accounting data'!$J$2:$J$37000,"23*",'Accounting data'!$K$2:$K$37000,"62*")</f>
        <v>0</v>
      </c>
      <c r="K17" s="552">
        <f>SUMIFS('Accounting data'!$G$2:$G$37000,'Accounting data'!$H$2:$H$37000,"1071*",'Accounting data'!$I$2:$I$37000,"260*",'Accounting data'!$J$2:$J$37000,"23*",'Accounting data'!$K$2:$K$37000,"63*")</f>
        <v>0</v>
      </c>
      <c r="L17" s="552">
        <f>SUMIFS('Accounting data'!$G$2:$G$37000,'Accounting data'!$H$2:$H$37000,"1071*",'Accounting data'!$I$2:$I$37000,"260*",'Accounting data'!$J$2:$J$37000,"23*",'Accounting data'!$K$2:$K$37000,"66*")</f>
        <v>0</v>
      </c>
      <c r="M17" s="552">
        <f>SUMIFS('Accounting data'!$G$2:$G$37000,'Accounting data'!$H$2:$H$37000,"1071*",'Accounting data'!$I$2:$I$37000,"260*",'Accounting data'!$J$2:$J$37000,"23*",'Accounting data'!$K$2:$K$37000,"68*")</f>
        <v>0</v>
      </c>
      <c r="N17" s="550">
        <f>[1]!SEIP1071P260F2300</f>
        <v>0</v>
      </c>
      <c r="O17" s="552">
        <f t="shared" si="0"/>
        <v>0</v>
      </c>
      <c r="P17" s="198"/>
      <c r="Q17" s="149">
        <v>7</v>
      </c>
    </row>
    <row r="18" spans="1:17" ht="12" customHeight="1" x14ac:dyDescent="0.2">
      <c r="A18" s="89"/>
      <c r="C18" t="s">
        <v>202</v>
      </c>
      <c r="E18" s="184">
        <v>8</v>
      </c>
      <c r="F18" s="196"/>
      <c r="G18" s="650"/>
      <c r="H18" s="197"/>
      <c r="I18" s="552">
        <f>SUMIFS('Accounting data'!$G$2:$G$37000,'Accounting data'!$H$2:$H$37000,"1071*",'Accounting data'!$I$2:$I$37000,"260*",'Accounting data'!$J$2:$J$37000,"24*",'Accounting data'!$K$2:$K$37000,"61*")</f>
        <v>0</v>
      </c>
      <c r="J18" s="552">
        <f>SUMIFS('Accounting data'!$G$2:$G$37000,'Accounting data'!$H$2:$H$37000,"1071*",'Accounting data'!$I$2:$I$37000,"260*",'Accounting data'!$J$2:$J$37000,"24*",'Accounting data'!$K$2:$K$37000,"62*")</f>
        <v>0</v>
      </c>
      <c r="K18" s="552">
        <f>SUMIFS('Accounting data'!$G$2:$G$37000,'Accounting data'!$H$2:$H$37000,"1071*",'Accounting data'!$I$2:$I$37000,"260*",'Accounting data'!$J$2:$J$37000,"24*",'Accounting data'!$K$2:$K$37000,"63*")</f>
        <v>0</v>
      </c>
      <c r="L18" s="552">
        <f>SUMIFS('Accounting data'!$G$2:$G$37000,'Accounting data'!$H$2:$H$37000,"1071*",'Accounting data'!$I$2:$I$37000,"260*",'Accounting data'!$J$2:$J$37000,"24*",'Accounting data'!$K$2:$K$37000,"66*")</f>
        <v>0</v>
      </c>
      <c r="M18" s="552">
        <f>SUMIFS('Accounting data'!$G$2:$G$37000,'Accounting data'!$H$2:$H$37000,"1071*",'Accounting data'!$I$2:$I$37000,"260*",'Accounting data'!$J$2:$J$37000,"24*",'Accounting data'!$K$2:$K$37000,"68*")</f>
        <v>0</v>
      </c>
      <c r="N18" s="550">
        <f>[1]!SEIP1071P260F2400</f>
        <v>0</v>
      </c>
      <c r="O18" s="552">
        <f t="shared" si="0"/>
        <v>0</v>
      </c>
      <c r="P18" s="198"/>
      <c r="Q18" s="149">
        <v>8</v>
      </c>
    </row>
    <row r="19" spans="1:17" ht="12" customHeight="1" x14ac:dyDescent="0.2">
      <c r="A19" s="89"/>
      <c r="C19" t="s">
        <v>203</v>
      </c>
      <c r="E19" s="184">
        <v>9</v>
      </c>
      <c r="F19" s="196"/>
      <c r="G19" s="650"/>
      <c r="H19" s="197"/>
      <c r="I19" s="552">
        <f>SUMIFS('Accounting data'!$G$2:$G$37000,'Accounting data'!$H$2:$H$37000,"1071*",'Accounting data'!$I$2:$I$37000,"260*",'Accounting data'!$J$2:$J$37000,"25*",'Accounting data'!$K$2:$K$37000,"61*")</f>
        <v>0</v>
      </c>
      <c r="J19" s="552">
        <f>SUMIFS('Accounting data'!$G$2:$G$37000,'Accounting data'!$H$2:$H$37000,"1071*",'Accounting data'!$I$2:$I$37000,"260*",'Accounting data'!$J$2:$J$37000,"25*",'Accounting data'!$K$2:$K$37000,"62*")</f>
        <v>0</v>
      </c>
      <c r="K19" s="552">
        <f>SUMIFS('Accounting data'!$G$2:$G$37000,'Accounting data'!$H$2:$H$37000,"1071*",'Accounting data'!$I$2:$I$37000,"260*",'Accounting data'!$J$2:$J$37000,"25*",'Accounting data'!$K$2:$K$37000,"63*")</f>
        <v>0</v>
      </c>
      <c r="L19" s="552">
        <f>SUMIFS('Accounting data'!$G$2:$G$37000,'Accounting data'!$H$2:$H$37000,"1071*",'Accounting data'!$I$2:$I$37000,"260*",'Accounting data'!$J$2:$J$37000,"25*",'Accounting data'!$K$2:$K$37000,"66*")</f>
        <v>0</v>
      </c>
      <c r="M19" s="552">
        <f>SUMIFS('Accounting data'!$G$2:$G$37000,'Accounting data'!$H$2:$H$37000,"1071*",'Accounting data'!$I$2:$I$37000,"260*",'Accounting data'!$J$2:$J$37000,"25*",'Accounting data'!$K$2:$K$37000,"68*")</f>
        <v>0</v>
      </c>
      <c r="N19" s="550">
        <f>[1]!SEIP1071P260F2500</f>
        <v>0</v>
      </c>
      <c r="O19" s="552">
        <f t="shared" si="0"/>
        <v>0</v>
      </c>
      <c r="P19" s="198"/>
      <c r="Q19" s="149">
        <v>9</v>
      </c>
    </row>
    <row r="20" spans="1:17" ht="12" customHeight="1" x14ac:dyDescent="0.2">
      <c r="A20" s="89"/>
      <c r="C20" t="s">
        <v>204</v>
      </c>
      <c r="E20" s="184">
        <v>10</v>
      </c>
      <c r="F20" s="196"/>
      <c r="G20" s="650"/>
      <c r="H20" s="197"/>
      <c r="I20" s="552">
        <f>SUMIFS('Accounting data'!$G$2:$G$37000,'Accounting data'!$H$2:$H$37000,"1071*",'Accounting data'!$I$2:$I$37000,"260*",'Accounting data'!$J$2:$J$37000,"26*",'Accounting data'!$K$2:$K$37000,"61*")</f>
        <v>0</v>
      </c>
      <c r="J20" s="552">
        <f>SUMIFS('Accounting data'!$G$2:$G$37000,'Accounting data'!$H$2:$H$37000,"1071*",'Accounting data'!$I$2:$I$37000,"260*",'Accounting data'!$J$2:$J$37000,"26*",'Accounting data'!$K$2:$K$37000,"62*")</f>
        <v>0</v>
      </c>
      <c r="K20" s="552">
        <f>SUMIFS('Accounting data'!$G$2:$G$37000,'Accounting data'!$H$2:$H$37000,"1071*",'Accounting data'!$I$2:$I$37000,"260*",'Accounting data'!$J$2:$J$37000,"26*",'Accounting data'!$K$2:$K$37000,"63*")</f>
        <v>0</v>
      </c>
      <c r="L20" s="552">
        <f>SUMIFS('Accounting data'!$G$2:$G$37000,'Accounting data'!$H$2:$H$37000,"1071*",'Accounting data'!$I$2:$I$37000,"260*",'Accounting data'!$J$2:$J$37000,"26*",'Accounting data'!$K$2:$K$37000,"66*")</f>
        <v>0</v>
      </c>
      <c r="M20" s="552">
        <f>SUMIFS('Accounting data'!$G$2:$G$37000,'Accounting data'!$H$2:$H$37000,"1071*",'Accounting data'!$I$2:$I$37000,"260*",'Accounting data'!$J$2:$J$37000,"26*",'Accounting data'!$K$2:$K$37000,"68*")</f>
        <v>0</v>
      </c>
      <c r="N20" s="550">
        <f>[1]!SEIP1071P260F2600</f>
        <v>0</v>
      </c>
      <c r="O20" s="552">
        <f t="shared" si="0"/>
        <v>0</v>
      </c>
      <c r="P20" s="198"/>
      <c r="Q20" s="149">
        <v>10</v>
      </c>
    </row>
    <row r="21" spans="1:17" ht="12" customHeight="1" x14ac:dyDescent="0.2">
      <c r="A21" s="89"/>
      <c r="C21" t="s">
        <v>205</v>
      </c>
      <c r="E21" s="184">
        <v>11</v>
      </c>
      <c r="F21" s="196"/>
      <c r="G21" s="650"/>
      <c r="H21" s="197"/>
      <c r="I21" s="552">
        <f>SUMIFS('Accounting data'!$G$2:$G$37000,'Accounting data'!$H$2:$H$37000,"1071*",'Accounting data'!$I$2:$I$37000,"260*",'Accounting data'!$J$2:$J$37000,"29*",'Accounting data'!$K$2:$K$37000,"61*")</f>
        <v>0</v>
      </c>
      <c r="J21" s="552">
        <f>SUMIFS('Accounting data'!$G$2:$G$37000,'Accounting data'!$H$2:$H$37000,"1071*",'Accounting data'!$I$2:$I$37000,"260*",'Accounting data'!$J$2:$J$37000,"29*",'Accounting data'!$K$2:$K$37000,"62*")</f>
        <v>0</v>
      </c>
      <c r="K21" s="552">
        <f>SUMIFS('Accounting data'!$G$2:$G$37000,'Accounting data'!$H$2:$H$37000,"1071*",'Accounting data'!$I$2:$I$37000,"260*",'Accounting data'!$J$2:$J$37000,"29*",'Accounting data'!$K$2:$K$37000,"63*")</f>
        <v>0</v>
      </c>
      <c r="L21" s="552">
        <f>SUMIFS('Accounting data'!$G$2:$G$37000,'Accounting data'!$H$2:$H$37000,"1071*",'Accounting data'!$I$2:$I$37000,"260*",'Accounting data'!$J$2:$J$37000,"29*",'Accounting data'!$K$2:$K$37000,"66*")</f>
        <v>0</v>
      </c>
      <c r="M21" s="552">
        <f>SUMIFS('Accounting data'!$G$2:$G$37000,'Accounting data'!$H$2:$H$37000,"1071*",'Accounting data'!$I$2:$I$37000,"260*",'Accounting data'!$J$2:$J$37000,"29*",'Accounting data'!$K$2:$K$37000,"68*")</f>
        <v>0</v>
      </c>
      <c r="N21" s="550">
        <f>[1]!SEIP1071P260F2900</f>
        <v>0</v>
      </c>
      <c r="O21" s="552">
        <f t="shared" si="0"/>
        <v>0</v>
      </c>
      <c r="P21" s="198"/>
      <c r="Q21" s="149">
        <v>11</v>
      </c>
    </row>
    <row r="22" spans="1:17" ht="12" customHeight="1" x14ac:dyDescent="0.2">
      <c r="A22" s="93"/>
      <c r="B22" s="6" t="s">
        <v>206</v>
      </c>
      <c r="C22" s="6"/>
      <c r="D22" s="6"/>
      <c r="E22" s="180">
        <v>12</v>
      </c>
      <c r="F22" s="196"/>
      <c r="G22" s="651"/>
      <c r="H22" s="199"/>
      <c r="I22" s="552">
        <f>SUM(I13:I21)</f>
        <v>0</v>
      </c>
      <c r="J22" s="552">
        <f t="shared" ref="J22:O22" si="1">SUM(J13:J21)</f>
        <v>0</v>
      </c>
      <c r="K22" s="552">
        <f>SUM(K13:K21)</f>
        <v>0</v>
      </c>
      <c r="L22" s="552">
        <f t="shared" si="1"/>
        <v>0</v>
      </c>
      <c r="M22" s="552">
        <f t="shared" si="1"/>
        <v>0</v>
      </c>
      <c r="N22" s="552">
        <f t="shared" si="1"/>
        <v>0</v>
      </c>
      <c r="O22" s="552">
        <f t="shared" si="1"/>
        <v>0</v>
      </c>
      <c r="P22" s="198"/>
      <c r="Q22" s="200">
        <v>12</v>
      </c>
    </row>
    <row r="23" spans="1:17" ht="12" customHeight="1" x14ac:dyDescent="0.2">
      <c r="A23" s="89" t="s">
        <v>207</v>
      </c>
      <c r="E23" s="184"/>
      <c r="F23" s="188"/>
      <c r="G23" s="647"/>
      <c r="H23" s="840"/>
      <c r="I23" s="83"/>
      <c r="J23" s="83"/>
      <c r="K23" s="83"/>
      <c r="L23" s="83"/>
      <c r="M23" s="83"/>
      <c r="N23" s="83"/>
      <c r="O23" s="83"/>
      <c r="P23" s="190"/>
      <c r="Q23" s="149"/>
    </row>
    <row r="24" spans="1:17" ht="12" customHeight="1" x14ac:dyDescent="0.2">
      <c r="A24" s="89"/>
      <c r="B24" t="s">
        <v>198</v>
      </c>
      <c r="E24" s="184"/>
      <c r="F24" s="191"/>
      <c r="G24" s="648"/>
      <c r="H24" s="841"/>
      <c r="I24" s="595"/>
      <c r="J24" s="595"/>
      <c r="K24" s="595"/>
      <c r="L24" s="595"/>
      <c r="M24" s="595"/>
      <c r="N24" s="595"/>
      <c r="O24" s="192"/>
      <c r="P24" s="193"/>
      <c r="Q24" s="149"/>
    </row>
    <row r="25" spans="1:17" ht="12" customHeight="1" x14ac:dyDescent="0.2">
      <c r="A25" s="89"/>
      <c r="C25" t="s">
        <v>208</v>
      </c>
      <c r="E25" s="184">
        <v>13</v>
      </c>
      <c r="F25" s="194"/>
      <c r="G25" s="649"/>
      <c r="H25" s="842"/>
      <c r="I25" s="595">
        <f>SUMIFS('Accounting data'!$G$2:$G$37000,'Accounting data'!$H$2:$H$37000,"1071*",'Accounting data'!$I$2:$I$37000,"43*",'Accounting data'!$J$2:$J$37000,"27*",'Accounting data'!$K$2:$K$37000,"61*")</f>
        <v>0</v>
      </c>
      <c r="J25" s="595">
        <f>SUMIFS('Accounting data'!$G$2:$G$37000,'Accounting data'!$H$2:$H$37000,"1071*",'Accounting data'!$I$2:$I$37000,"43*",'Accounting data'!$J$2:$J$37000,"27*",'Accounting data'!$K$2:$K$37000,"62*")</f>
        <v>0</v>
      </c>
      <c r="K25" s="595">
        <f>SUMIFS('Accounting data'!$G$2:$G$37000,'Accounting data'!$H$2:$H$37000,"1071*",'Accounting data'!$I$2:$I$37000,"43*",'Accounting data'!$J$2:$J$37000,"27*",'Accounting data'!$K$2:$K$37000,"63*")</f>
        <v>0</v>
      </c>
      <c r="L25" s="595">
        <f>SUMIFS('Accounting data'!$G$2:$G$37000,'Accounting data'!$H$2:$H$37000,"1071*",'Accounting data'!$I$2:$I$37000,"43*",'Accounting data'!$J$2:$J$37000,"27*",'Accounting data'!$K$2:$K$37000,"66*")</f>
        <v>0</v>
      </c>
      <c r="M25" s="595">
        <f>SUMIFS('Accounting data'!$G$2:$G$37000,'Accounting data'!$H$2:$H$37000,"1071*",'Accounting data'!$I$2:$I$37000,"43*",'Accounting data'!$J$2:$J$37000,"27*",'Accounting data'!$K$2:$K$37000,"68*")</f>
        <v>0</v>
      </c>
      <c r="N25" s="595">
        <f>[1]!SEIP1071P430F2700</f>
        <v>0</v>
      </c>
      <c r="O25" s="557">
        <f>SUM(I25:M25)</f>
        <v>0</v>
      </c>
      <c r="P25" s="195"/>
      <c r="Q25" s="200">
        <v>13</v>
      </c>
    </row>
    <row r="26" spans="1:17" ht="12" customHeight="1" x14ac:dyDescent="0.2">
      <c r="A26" s="99" t="s">
        <v>209</v>
      </c>
      <c r="B26" s="100"/>
      <c r="C26" s="100"/>
      <c r="D26" s="100"/>
      <c r="E26" s="201">
        <v>14</v>
      </c>
      <c r="F26" s="550">
        <f>[2]!SEIP1071EndBal</f>
        <v>0</v>
      </c>
      <c r="G26" s="54">
        <v>0</v>
      </c>
      <c r="H26" s="552">
        <f>H10</f>
        <v>0</v>
      </c>
      <c r="I26" s="552">
        <f>SUM(I22:I24)</f>
        <v>0</v>
      </c>
      <c r="J26" s="552">
        <f>SUM(J22:J24)</f>
        <v>0</v>
      </c>
      <c r="K26" s="552">
        <f>SUM(K22:K24)</f>
        <v>0</v>
      </c>
      <c r="L26" s="552">
        <f>SUM(L22:L24)</f>
        <v>0</v>
      </c>
      <c r="M26" s="552">
        <f>SUM(M22:M24)</f>
        <v>0</v>
      </c>
      <c r="N26" s="552">
        <f>SUM(N22:N25)</f>
        <v>0</v>
      </c>
      <c r="O26" s="552">
        <f>SUM(O22:O25)</f>
        <v>0</v>
      </c>
      <c r="P26" s="552">
        <f>IF(G26="",F26,G26)+H26-O26</f>
        <v>0</v>
      </c>
      <c r="Q26" s="200">
        <v>14</v>
      </c>
    </row>
    <row r="27" spans="1:17" ht="9" customHeight="1" x14ac:dyDescent="0.2">
      <c r="A27" s="828"/>
      <c r="B27" s="828"/>
      <c r="C27" s="828"/>
      <c r="D27" s="828"/>
      <c r="E27" s="828"/>
      <c r="F27" s="828"/>
      <c r="G27" s="828"/>
      <c r="H27" s="828"/>
      <c r="I27" s="828"/>
      <c r="J27" s="828"/>
      <c r="K27" s="829"/>
      <c r="L27" s="829"/>
      <c r="M27" s="829"/>
    </row>
    <row r="28" spans="1:17" ht="11.25" customHeight="1" x14ac:dyDescent="0.2">
      <c r="A28" s="87" t="s">
        <v>210</v>
      </c>
      <c r="B28" s="72"/>
      <c r="C28" s="72"/>
      <c r="D28" s="72"/>
      <c r="E28" s="202"/>
      <c r="F28" s="835"/>
      <c r="G28" s="643"/>
      <c r="H28" s="835"/>
      <c r="I28" s="835"/>
      <c r="J28" s="835"/>
      <c r="K28" s="835"/>
      <c r="L28" s="835"/>
      <c r="M28" s="843"/>
      <c r="N28" s="843"/>
      <c r="O28" s="843"/>
      <c r="P28" s="835"/>
    </row>
    <row r="29" spans="1:17" ht="11.25" customHeight="1" x14ac:dyDescent="0.2">
      <c r="A29" s="116" t="s">
        <v>165</v>
      </c>
      <c r="E29" s="184"/>
      <c r="F29" s="836"/>
      <c r="G29" s="644"/>
      <c r="H29" s="846"/>
      <c r="I29" s="846"/>
      <c r="J29" s="846"/>
      <c r="K29" s="846"/>
      <c r="L29" s="846"/>
      <c r="M29" s="843"/>
      <c r="N29" s="843"/>
      <c r="O29" s="843"/>
      <c r="P29" s="836"/>
    </row>
    <row r="30" spans="1:17" ht="12" customHeight="1" x14ac:dyDescent="0.2">
      <c r="A30" s="116"/>
      <c r="B30" t="s">
        <v>193</v>
      </c>
      <c r="E30" s="184">
        <v>15</v>
      </c>
      <c r="F30" s="185"/>
      <c r="G30" s="185"/>
      <c r="H30" s="552">
        <f>-(SUMIFS('Accounting data'!$G$2:$G$37000,'Accounting data'!$H$2:$H$37000,"1072*",'Accounting data'!$K$2:$K$37000,"32*"))</f>
        <v>0</v>
      </c>
      <c r="I30" s="185"/>
      <c r="J30" s="185"/>
      <c r="K30" s="185"/>
      <c r="L30" s="185"/>
      <c r="M30" s="203"/>
      <c r="N30" s="185"/>
      <c r="O30" s="185"/>
      <c r="P30" s="185"/>
      <c r="Q30" s="200">
        <v>15</v>
      </c>
    </row>
    <row r="31" spans="1:17" ht="12" customHeight="1" x14ac:dyDescent="0.2">
      <c r="A31" s="116"/>
      <c r="B31" t="s">
        <v>194</v>
      </c>
      <c r="E31" s="184">
        <v>16</v>
      </c>
      <c r="F31" s="185"/>
      <c r="G31" s="185"/>
      <c r="H31" s="552">
        <f>-(SUMIFS('Accounting data'!$G$2:$G$37000,'Accounting data'!$H$2:$H$37000,"1072*",'Accounting data'!$K$2:$K$37000,"15*"))</f>
        <v>0</v>
      </c>
      <c r="I31" s="185"/>
      <c r="J31" s="185"/>
      <c r="K31" s="185"/>
      <c r="L31" s="185"/>
      <c r="M31" s="185"/>
      <c r="N31" s="185"/>
      <c r="O31" s="185"/>
      <c r="P31" s="185"/>
      <c r="Q31" s="200">
        <v>16</v>
      </c>
    </row>
    <row r="32" spans="1:17" ht="12" customHeight="1" x14ac:dyDescent="0.2">
      <c r="A32" s="89" t="s">
        <v>211</v>
      </c>
      <c r="E32" s="184">
        <v>17</v>
      </c>
      <c r="F32" s="186"/>
      <c r="G32" s="186"/>
      <c r="H32" s="552">
        <f>SUM(H30:H31)</f>
        <v>0</v>
      </c>
      <c r="I32" s="186"/>
      <c r="J32" s="186"/>
      <c r="K32" s="186"/>
      <c r="L32" s="186"/>
      <c r="M32" s="186"/>
      <c r="N32" s="186"/>
      <c r="O32" s="186"/>
      <c r="P32" s="186"/>
      <c r="Q32" s="200">
        <v>17</v>
      </c>
    </row>
    <row r="33" spans="1:17" ht="11.25" customHeight="1" x14ac:dyDescent="0.2">
      <c r="A33" s="116" t="s">
        <v>89</v>
      </c>
      <c r="E33" s="187"/>
      <c r="F33" s="188"/>
      <c r="G33" s="647"/>
      <c r="H33" s="204"/>
      <c r="I33" s="146"/>
      <c r="J33" s="146"/>
      <c r="K33" s="146"/>
      <c r="L33" s="146"/>
      <c r="M33" s="146"/>
      <c r="N33" s="146"/>
      <c r="O33" s="146"/>
      <c r="P33" s="188"/>
    </row>
    <row r="34" spans="1:17" ht="12" customHeight="1" x14ac:dyDescent="0.2">
      <c r="A34" s="89" t="s">
        <v>212</v>
      </c>
      <c r="E34" s="187"/>
      <c r="F34" s="191"/>
      <c r="G34" s="648"/>
      <c r="H34" s="205"/>
      <c r="I34" s="192"/>
      <c r="J34" s="192"/>
      <c r="K34" s="192"/>
      <c r="L34" s="192"/>
      <c r="M34" s="192"/>
      <c r="N34" s="192"/>
      <c r="O34" s="192"/>
      <c r="P34" s="191"/>
    </row>
    <row r="35" spans="1:17" ht="12" customHeight="1" x14ac:dyDescent="0.2">
      <c r="A35" s="89"/>
      <c r="B35" t="s">
        <v>197</v>
      </c>
      <c r="E35" s="187">
        <v>18</v>
      </c>
      <c r="F35" s="194"/>
      <c r="G35" s="649"/>
      <c r="H35" s="206"/>
      <c r="I35" s="557">
        <f>SUMIFS('Accounting data'!$G$2:$G$37000,'Accounting data'!$H$2:$H$37000,"1072*",'Accounting data'!$I$2:$I$37000,"265*",'Accounting data'!$J$2:$J$37000,"1*",'Accounting data'!$K$2:$K$37000,"61*")</f>
        <v>0</v>
      </c>
      <c r="J35" s="557">
        <f>SUMIFS('Accounting data'!$G$2:$G$37000,'Accounting data'!$H$2:$H$37000,"1072*",'Accounting data'!$I$2:$I$37000,"265*",'Accounting data'!$J$2:$J$37000,"1*",'Accounting data'!$K$2:$K$37000,"62*")</f>
        <v>0</v>
      </c>
      <c r="K35" s="557">
        <f>SUMIFS('Accounting data'!$G$2:$G$37000,'Accounting data'!$H$2:$H$37000,"1072*",'Accounting data'!$I$2:$I$37000,"265*",'Accounting data'!$J$2:$J$37000,"1*",'Accounting data'!$K$2:$K$37000,"63*")</f>
        <v>0</v>
      </c>
      <c r="L35" s="557">
        <f>SUMIFS('Accounting data'!$G$2:$G$37000,'Accounting data'!$H$2:$H$37000,"1072*",'Accounting data'!$I$2:$I$37000,"265*",'Accounting data'!$J$2:$J$37000,"1*",'Accounting data'!$K$2:$K$37000,"66*")</f>
        <v>0</v>
      </c>
      <c r="M35" s="557">
        <f>SUMIFS('Accounting data'!$G$2:$G$37000,'Accounting data'!$H$2:$H$37000,"1072*",'Accounting data'!$I$2:$I$37000,"265*",'Accounting data'!$J$2:$J$37000,"1*",'Accounting data'!$K$2:$K$37000,"68*")</f>
        <v>0</v>
      </c>
      <c r="N35" s="557">
        <f>[1]!CIP1072P265F1000</f>
        <v>0</v>
      </c>
      <c r="O35" s="557">
        <f>SUM(I35:M35)</f>
        <v>0</v>
      </c>
      <c r="P35" s="194"/>
      <c r="Q35" s="200">
        <v>18</v>
      </c>
    </row>
    <row r="36" spans="1:17" ht="12" customHeight="1" x14ac:dyDescent="0.2">
      <c r="A36" s="89"/>
      <c r="B36" t="s">
        <v>198</v>
      </c>
      <c r="E36" s="184"/>
      <c r="F36" s="188"/>
      <c r="G36" s="648"/>
      <c r="H36" s="841"/>
      <c r="I36" s="189"/>
      <c r="J36" s="189"/>
      <c r="K36" s="189"/>
      <c r="L36" s="189"/>
      <c r="M36" s="189"/>
      <c r="N36" s="189"/>
      <c r="O36" s="189"/>
      <c r="P36" s="188"/>
      <c r="Q36" s="200"/>
    </row>
    <row r="37" spans="1:17" ht="12" customHeight="1" x14ac:dyDescent="0.2">
      <c r="A37" s="89"/>
      <c r="C37" t="s">
        <v>199</v>
      </c>
      <c r="E37" s="184">
        <v>19</v>
      </c>
      <c r="F37" s="194"/>
      <c r="G37" s="648"/>
      <c r="H37" s="841"/>
      <c r="I37" s="557">
        <f>SUMIFS('Accounting data'!$G$2:$G$37000,'Accounting data'!$H$2:$H$37000,"1072*",'Accounting data'!$I$2:$I$37000,"265*",'Accounting data'!$J$2:$J$37000,"21*",'Accounting data'!$K$2:$K$37000,"61*")</f>
        <v>0</v>
      </c>
      <c r="J37" s="557">
        <f>SUMIFS('Accounting data'!$G$2:$G$37000,'Accounting data'!$H$2:$H$37000,"1072*",'Accounting data'!$I$2:$I$37000,"265*",'Accounting data'!$J$2:$J$37000,"21*",'Accounting data'!$K$2:$K$37000,"62*")</f>
        <v>0</v>
      </c>
      <c r="K37" s="557">
        <f>SUMIFS('Accounting data'!$G$2:$G$37000,'Accounting data'!$H$2:$H$37000,"1072*",'Accounting data'!$I$2:$I$37000,"265*",'Accounting data'!$J$2:$J$37000,"21*",'Accounting data'!$K$2:$K$37000,"63*")</f>
        <v>0</v>
      </c>
      <c r="L37" s="557">
        <f>SUMIFS('Accounting data'!$G$2:$G$37000,'Accounting data'!$H$2:$H$37000,"1072*",'Accounting data'!$I$2:$I$37000,"265*",'Accounting data'!$J$2:$J$37000,"21*",'Accounting data'!$K$2:$K$37000,"66*")</f>
        <v>0</v>
      </c>
      <c r="M37" s="557">
        <f>SUMIFS('Accounting data'!$G$2:$G$37000,'Accounting data'!$H$2:$H$37000,"1072*",'Accounting data'!$I$2:$I$37000,"265*",'Accounting data'!$J$2:$J$37000,"21*",'Accounting data'!$K$2:$K$37000,"68*")</f>
        <v>0</v>
      </c>
      <c r="N37" s="557">
        <f>[1]!CIP1072P265F2100</f>
        <v>0</v>
      </c>
      <c r="O37" s="557">
        <f>SUM(I37:M37)</f>
        <v>0</v>
      </c>
      <c r="P37" s="194"/>
      <c r="Q37" s="200">
        <v>19</v>
      </c>
    </row>
    <row r="38" spans="1:17" ht="12" customHeight="1" x14ac:dyDescent="0.2">
      <c r="A38" s="89"/>
      <c r="C38" t="s">
        <v>200</v>
      </c>
      <c r="E38" s="184">
        <v>20</v>
      </c>
      <c r="F38" s="196"/>
      <c r="G38" s="650"/>
      <c r="H38" s="197"/>
      <c r="I38" s="552">
        <f>SUMIFS('Accounting data'!$G$2:$G$37000,'Accounting data'!$H$2:$H$37000,"1072*",'Accounting data'!$I$2:$I$37000,"265*",'Accounting data'!$J$2:$J$37000,"22*",'Accounting data'!$K$2:$K$37000,"61*")</f>
        <v>0</v>
      </c>
      <c r="J38" s="552">
        <f>SUMIFS('Accounting data'!$G$2:$G$37000,'Accounting data'!$H$2:$H$37000,"1072*",'Accounting data'!$I$2:$I$37000,"265*",'Accounting data'!$J$2:$J$37000,"22*",'Accounting data'!$K$2:$K$37000,"62*")</f>
        <v>0</v>
      </c>
      <c r="K38" s="552">
        <f>SUMIFS('Accounting data'!$G$2:$G$37000,'Accounting data'!$H$2:$H$37000,"1072*",'Accounting data'!$I$2:$I$37000,"265*",'Accounting data'!$J$2:$J$37000,"22*",'Accounting data'!$K$2:$K$37000,"63*")</f>
        <v>0</v>
      </c>
      <c r="L38" s="552">
        <f>SUMIFS('Accounting data'!$G$2:$G$37000,'Accounting data'!$H$2:$H$37000,"1072*",'Accounting data'!$I$2:$I$37000,"265*",'Accounting data'!$J$2:$J$37000,"22*",'Accounting data'!$K$2:$K$37000,"66*")</f>
        <v>0</v>
      </c>
      <c r="M38" s="552">
        <f>SUMIFS('Accounting data'!$G$2:$G$37000,'Accounting data'!$H$2:$H$37000,"1072*",'Accounting data'!$I$2:$I$37000,"265*",'Accounting data'!$J$2:$J$37000,"22*",'Accounting data'!$K$2:$K$37000,"68*")</f>
        <v>0</v>
      </c>
      <c r="N38" s="550">
        <f>[1]!CIP1072P265F2200</f>
        <v>0</v>
      </c>
      <c r="O38" s="552">
        <f t="shared" ref="O38:O43" si="2">SUM(I38:M38)</f>
        <v>0</v>
      </c>
      <c r="P38" s="196"/>
      <c r="Q38" s="200">
        <v>20</v>
      </c>
    </row>
    <row r="39" spans="1:17" ht="12" customHeight="1" x14ac:dyDescent="0.2">
      <c r="A39" s="89"/>
      <c r="C39" t="s">
        <v>201</v>
      </c>
      <c r="E39" s="184">
        <v>21</v>
      </c>
      <c r="F39" s="196"/>
      <c r="G39" s="650"/>
      <c r="H39" s="197"/>
      <c r="I39" s="552">
        <f>SUMIFS('Accounting data'!$G$2:$G$37000,'Accounting data'!$H$2:$H$37000,"1072*",'Accounting data'!$I$2:$I$37000,"265*",'Accounting data'!$J$2:$J$37000,"23*",'Accounting data'!$K$2:$K$37000,"61*")</f>
        <v>0</v>
      </c>
      <c r="J39" s="552">
        <f>SUMIFS('Accounting data'!$G$2:$G$37000,'Accounting data'!$H$2:$H$37000,"1072*",'Accounting data'!$I$2:$I$37000,"265*",'Accounting data'!$J$2:$J$37000,"23*",'Accounting data'!$K$2:$K$37000,"62*")</f>
        <v>0</v>
      </c>
      <c r="K39" s="552">
        <f>SUMIFS('Accounting data'!$G$2:$G$37000,'Accounting data'!$H$2:$H$37000,"1072*",'Accounting data'!$I$2:$I$37000,"265*",'Accounting data'!$J$2:$J$37000,"23*",'Accounting data'!$K$2:$K$37000,"63*")</f>
        <v>0</v>
      </c>
      <c r="L39" s="552">
        <f>SUMIFS('Accounting data'!$G$2:$G$37000,'Accounting data'!$H$2:$H$37000,"1072*",'Accounting data'!$I$2:$I$37000,"265*",'Accounting data'!$J$2:$J$37000,"23*",'Accounting data'!$K$2:$K$37000,"66*")</f>
        <v>0</v>
      </c>
      <c r="M39" s="552">
        <f>SUMIFS('Accounting data'!$G$2:$G$37000,'Accounting data'!$H$2:$H$37000,"1072*",'Accounting data'!$I$2:$I$37000,"265*",'Accounting data'!$J$2:$J$37000,"23*",'Accounting data'!$K$2:$K$37000,"68*")</f>
        <v>0</v>
      </c>
      <c r="N39" s="550">
        <f>[1]!CIP1072P265F2300</f>
        <v>0</v>
      </c>
      <c r="O39" s="552">
        <f t="shared" si="2"/>
        <v>0</v>
      </c>
      <c r="P39" s="196"/>
      <c r="Q39" s="200">
        <v>21</v>
      </c>
    </row>
    <row r="40" spans="1:17" ht="12" customHeight="1" x14ac:dyDescent="0.2">
      <c r="A40" s="89"/>
      <c r="C40" t="s">
        <v>202</v>
      </c>
      <c r="E40" s="184">
        <v>22</v>
      </c>
      <c r="F40" s="196"/>
      <c r="G40" s="650"/>
      <c r="H40" s="197"/>
      <c r="I40" s="552">
        <f>SUMIFS('Accounting data'!$G$2:$G$37000,'Accounting data'!$H$2:$H$37000,"1072*",'Accounting data'!$I$2:$I$37000,"265*",'Accounting data'!$J$2:$J$37000,"24*",'Accounting data'!$K$2:$K$37000,"61*")</f>
        <v>0</v>
      </c>
      <c r="J40" s="552">
        <f>SUMIFS('Accounting data'!$G$2:$G$37000,'Accounting data'!$H$2:$H$37000,"1072*",'Accounting data'!$I$2:$I$37000,"265*",'Accounting data'!$J$2:$J$37000,"24*",'Accounting data'!$K$2:$K$37000,"62*")</f>
        <v>0</v>
      </c>
      <c r="K40" s="552">
        <f>SUMIFS('Accounting data'!$G$2:$G$37000,'Accounting data'!$H$2:$H$37000,"1072*",'Accounting data'!$I$2:$I$37000,"265*",'Accounting data'!$J$2:$J$37000,"24*",'Accounting data'!$K$2:$K$37000,"63*")</f>
        <v>0</v>
      </c>
      <c r="L40" s="552">
        <f>SUMIFS('Accounting data'!$G$2:$G$37000,'Accounting data'!$H$2:$H$37000,"1072*",'Accounting data'!$I$2:$I$37000,"265*",'Accounting data'!$J$2:$J$37000,"24*",'Accounting data'!$K$2:$K$37000,"66*")</f>
        <v>0</v>
      </c>
      <c r="M40" s="552">
        <f>SUMIFS('Accounting data'!$G$2:$G$37000,'Accounting data'!$H$2:$H$37000,"1072*",'Accounting data'!$I$2:$I$37000,"265*",'Accounting data'!$J$2:$J$37000,"24*",'Accounting data'!$K$2:$K$37000,"68*")</f>
        <v>0</v>
      </c>
      <c r="N40" s="550">
        <f>[1]!CIP1072P265F2400</f>
        <v>0</v>
      </c>
      <c r="O40" s="552">
        <f t="shared" si="2"/>
        <v>0</v>
      </c>
      <c r="P40" s="196"/>
      <c r="Q40" s="200">
        <v>22</v>
      </c>
    </row>
    <row r="41" spans="1:17" ht="12" customHeight="1" x14ac:dyDescent="0.2">
      <c r="A41" s="89"/>
      <c r="C41" t="s">
        <v>203</v>
      </c>
      <c r="E41" s="184">
        <v>23</v>
      </c>
      <c r="F41" s="196"/>
      <c r="G41" s="650"/>
      <c r="H41" s="197"/>
      <c r="I41" s="552">
        <f>SUMIFS('Accounting data'!$G$2:$G$37000,'Accounting data'!$H$2:$H$37000,"1072*",'Accounting data'!$I$2:$I$37000,"265*",'Accounting data'!$J$2:$J$37000,"25*",'Accounting data'!$K$2:$K$37000,"61*")</f>
        <v>0</v>
      </c>
      <c r="J41" s="552">
        <f>SUMIFS('Accounting data'!$G$2:$G$37000,'Accounting data'!$H$2:$H$37000,"1072*",'Accounting data'!$I$2:$I$37000,"265*",'Accounting data'!$J$2:$J$37000,"25*",'Accounting data'!$K$2:$K$37000,"62*")</f>
        <v>0</v>
      </c>
      <c r="K41" s="552">
        <f>SUMIFS('Accounting data'!$G$2:$G$37000,'Accounting data'!$H$2:$H$37000,"1072*",'Accounting data'!$I$2:$I$37000,"265*",'Accounting data'!$J$2:$J$37000,"25*",'Accounting data'!$K$2:$K$37000,"63*")</f>
        <v>0</v>
      </c>
      <c r="L41" s="552">
        <f>SUMIFS('Accounting data'!$G$2:$G$37000,'Accounting data'!$H$2:$H$37000,"1072*",'Accounting data'!$I$2:$I$37000,"265*",'Accounting data'!$J$2:$J$37000,"25*",'Accounting data'!$K$2:$K$37000,"66*")</f>
        <v>0</v>
      </c>
      <c r="M41" s="552">
        <f>SUMIFS('Accounting data'!$G$2:$G$37000,'Accounting data'!$H$2:$H$37000,"1072*",'Accounting data'!$I$2:$I$37000,"265*",'Accounting data'!$J$2:$J$37000,"25*",'Accounting data'!$K$2:$K$37000,"68*")</f>
        <v>0</v>
      </c>
      <c r="N41" s="550">
        <f>[1]!CIP1072P265F2500</f>
        <v>0</v>
      </c>
      <c r="O41" s="552">
        <f t="shared" si="2"/>
        <v>0</v>
      </c>
      <c r="P41" s="196"/>
      <c r="Q41" s="200">
        <v>23</v>
      </c>
    </row>
    <row r="42" spans="1:17" ht="12" customHeight="1" x14ac:dyDescent="0.2">
      <c r="A42" s="89"/>
      <c r="C42" t="s">
        <v>204</v>
      </c>
      <c r="E42" s="184">
        <v>24</v>
      </c>
      <c r="F42" s="196"/>
      <c r="G42" s="650"/>
      <c r="H42" s="197"/>
      <c r="I42" s="552">
        <f>SUMIFS('Accounting data'!$G$2:$G$37000,'Accounting data'!$H$2:$H$37000,"1072*",'Accounting data'!$I$2:$I$37000,"265*",'Accounting data'!$J$2:$J$37000,"26*",'Accounting data'!$K$2:$K$37000,"61*")</f>
        <v>0</v>
      </c>
      <c r="J42" s="552">
        <f>SUMIFS('Accounting data'!$G$2:$G$37000,'Accounting data'!$H$2:$H$37000,"1072*",'Accounting data'!$I$2:$I$37000,"265*",'Accounting data'!$J$2:$J$37000,"26*",'Accounting data'!$K$2:$K$37000,"62*")</f>
        <v>0</v>
      </c>
      <c r="K42" s="552">
        <f>SUMIFS('Accounting data'!$G$2:$G$37000,'Accounting data'!$H$2:$H$37000,"1072*",'Accounting data'!$I$2:$I$37000,"265*",'Accounting data'!$J$2:$J$37000,"26*",'Accounting data'!$K$2:$K$37000,"63*")</f>
        <v>0</v>
      </c>
      <c r="L42" s="552">
        <f>SUMIFS('Accounting data'!$G$2:$G$37000,'Accounting data'!$H$2:$H$37000,"1072*",'Accounting data'!$I$2:$I$37000,"265*",'Accounting data'!$J$2:$J$37000,"26*",'Accounting data'!$K$2:$K$37000,"66*")</f>
        <v>0</v>
      </c>
      <c r="M42" s="552">
        <f>SUMIFS('Accounting data'!$G$2:$G$37000,'Accounting data'!$H$2:$H$37000,"1072*",'Accounting data'!$I$2:$I$37000,"265*",'Accounting data'!$J$2:$J$37000,"26*",'Accounting data'!$K$2:$K$37000,"68*")</f>
        <v>0</v>
      </c>
      <c r="N42" s="550">
        <f>[1]!CIP1072P265F2600</f>
        <v>0</v>
      </c>
      <c r="O42" s="552">
        <f t="shared" si="2"/>
        <v>0</v>
      </c>
      <c r="P42" s="196"/>
      <c r="Q42" s="200">
        <v>24</v>
      </c>
    </row>
    <row r="43" spans="1:17" ht="12" customHeight="1" x14ac:dyDescent="0.2">
      <c r="A43" s="89"/>
      <c r="C43" t="s">
        <v>205</v>
      </c>
      <c r="E43" s="184">
        <v>25</v>
      </c>
      <c r="F43" s="196"/>
      <c r="G43" s="650"/>
      <c r="H43" s="197"/>
      <c r="I43" s="552">
        <f>SUMIFS('Accounting data'!$G$2:$G$37000,'Accounting data'!$H$2:$H$37000,"1072*",'Accounting data'!$I$2:$I$37000,"265*",'Accounting data'!$J$2:$J$37000,"29*",'Accounting data'!$K$2:$K$37000,"61*")</f>
        <v>0</v>
      </c>
      <c r="J43" s="552">
        <f>SUMIFS('Accounting data'!$G$2:$G$37000,'Accounting data'!$H$2:$H$37000,"1072*",'Accounting data'!$I$2:$I$37000,"265*",'Accounting data'!$J$2:$J$37000,"29*",'Accounting data'!$K$2:$K$37000,"62*")</f>
        <v>0</v>
      </c>
      <c r="K43" s="552">
        <f>SUMIFS('Accounting data'!$G$2:$G$37000,'Accounting data'!$H$2:$H$37000,"1072*",'Accounting data'!$I$2:$I$37000,"265*",'Accounting data'!$J$2:$J$37000,"29*",'Accounting data'!$K$2:$K$37000,"63*")</f>
        <v>0</v>
      </c>
      <c r="L43" s="552">
        <f>SUMIFS('Accounting data'!$G$2:$G$37000,'Accounting data'!$H$2:$H$37000,"1072*",'Accounting data'!$I$2:$I$37000,"265*",'Accounting data'!$J$2:$J$37000,"29*",'Accounting data'!$K$2:$K$37000,"66*")</f>
        <v>0</v>
      </c>
      <c r="M43" s="552">
        <f>SUMIFS('Accounting data'!$G$2:$G$37000,'Accounting data'!$H$2:$H$37000,"1072*",'Accounting data'!$I$2:$I$37000,"265*",'Accounting data'!$J$2:$J$37000,"29*",'Accounting data'!$K$2:$K$37000,"68*")</f>
        <v>0</v>
      </c>
      <c r="N43" s="550">
        <f>[1]!CIP1072P265F2900</f>
        <v>0</v>
      </c>
      <c r="O43" s="552">
        <f t="shared" si="2"/>
        <v>0</v>
      </c>
      <c r="P43" s="196"/>
      <c r="Q43" s="200">
        <v>25</v>
      </c>
    </row>
    <row r="44" spans="1:17" ht="12" customHeight="1" x14ac:dyDescent="0.2">
      <c r="A44" s="93"/>
      <c r="B44" s="6" t="s">
        <v>213</v>
      </c>
      <c r="C44" s="6"/>
      <c r="D44" s="6"/>
      <c r="E44" s="180">
        <v>26</v>
      </c>
      <c r="F44" s="196"/>
      <c r="G44" s="650"/>
      <c r="H44" s="197"/>
      <c r="I44" s="207">
        <f>SUM(I35:I43)</f>
        <v>0</v>
      </c>
      <c r="J44" s="207">
        <f t="shared" ref="J44:M44" si="3">SUM(J35:J43)</f>
        <v>0</v>
      </c>
      <c r="K44" s="207">
        <f>SUM(K35:K43)</f>
        <v>0</v>
      </c>
      <c r="L44" s="207">
        <f>SUM(L35:L43)</f>
        <v>0</v>
      </c>
      <c r="M44" s="207">
        <f t="shared" si="3"/>
        <v>0</v>
      </c>
      <c r="N44" s="207">
        <f>SUM(N35:N43)</f>
        <v>0</v>
      </c>
      <c r="O44" s="207">
        <f>SUM(O35:O43)</f>
        <v>0</v>
      </c>
      <c r="P44" s="196"/>
      <c r="Q44" s="200">
        <v>26</v>
      </c>
    </row>
    <row r="45" spans="1:17" ht="12" customHeight="1" x14ac:dyDescent="0.2">
      <c r="A45" s="89" t="s">
        <v>214</v>
      </c>
      <c r="E45" s="184"/>
      <c r="F45" s="188"/>
      <c r="G45" s="647"/>
      <c r="H45" s="840"/>
      <c r="I45" s="146"/>
      <c r="J45" s="146"/>
      <c r="K45" s="146"/>
      <c r="L45" s="146"/>
      <c r="M45" s="146"/>
      <c r="N45" s="146"/>
      <c r="O45" s="146"/>
      <c r="P45" s="188"/>
      <c r="Q45" s="200"/>
    </row>
    <row r="46" spans="1:17" ht="12" customHeight="1" x14ac:dyDescent="0.2">
      <c r="A46" s="89"/>
      <c r="B46" t="s">
        <v>198</v>
      </c>
      <c r="E46" s="184"/>
      <c r="F46" s="191"/>
      <c r="G46" s="648"/>
      <c r="H46" s="841"/>
      <c r="I46" s="192"/>
      <c r="J46" s="192"/>
      <c r="K46" s="192"/>
      <c r="L46" s="192"/>
      <c r="M46" s="192"/>
      <c r="N46" s="192"/>
      <c r="O46" s="192"/>
      <c r="P46" s="191"/>
      <c r="Q46" s="200"/>
    </row>
    <row r="47" spans="1:17" ht="12" customHeight="1" x14ac:dyDescent="0.2">
      <c r="A47" s="89"/>
      <c r="C47" t="s">
        <v>208</v>
      </c>
      <c r="E47" s="184">
        <v>27</v>
      </c>
      <c r="F47" s="191"/>
      <c r="G47" s="648"/>
      <c r="H47" s="841"/>
      <c r="I47" s="557">
        <f>SUMIFS('Accounting data'!$G$2:$G$37000,'Accounting data'!$H$2:$H$37000,"1072*",'Accounting data'!$I$2:$I$37000,"435*",'Accounting data'!$J$2:$J$37000,"27*",'Accounting data'!$K$2:$K$37000,"61*")</f>
        <v>0</v>
      </c>
      <c r="J47" s="557">
        <f>SUMIFS('Accounting data'!$G$2:$G$37000,'Accounting data'!$H$2:$H$37000,"1072*",'Accounting data'!$I$2:$I$37000,"435*",'Accounting data'!$J$2:$J$37000,"27*",'Accounting data'!$K$2:$K$37000,"62*")</f>
        <v>0</v>
      </c>
      <c r="K47" s="557">
        <f>SUMIFS('Accounting data'!$G$2:$G$37000,'Accounting data'!$H$2:$H$37000,"1072*",'Accounting data'!$I$2:$I$37000,"435*",'Accounting data'!$J$2:$J$37000,"27*",'Accounting data'!$K$2:$K$37000,"63*")</f>
        <v>0</v>
      </c>
      <c r="L47" s="557">
        <f>SUMIFS('Accounting data'!$G$2:$G$37000,'Accounting data'!$H$2:$H$37000,"1072*",'Accounting data'!$I$2:$I$37000,"435*",'Accounting data'!$J$2:$J$37000,"27*",'Accounting data'!$K$2:$K$37000,"66*")</f>
        <v>0</v>
      </c>
      <c r="M47" s="557">
        <f>SUMIFS('Accounting data'!$G$2:$G$37000,'Accounting data'!$H$2:$H$37000,"1072*",'Accounting data'!$I$2:$I$37000,"435*",'Accounting data'!$J$2:$J$37000,"27*",'Accounting data'!$K$2:$K$37000,"68*")</f>
        <v>0</v>
      </c>
      <c r="N47" s="557">
        <f>[1]!CIP1072P435F2700</f>
        <v>0</v>
      </c>
      <c r="O47" s="557">
        <f>SUM(I47:M47)</f>
        <v>0</v>
      </c>
      <c r="P47" s="191"/>
      <c r="Q47" s="200">
        <v>27</v>
      </c>
    </row>
    <row r="48" spans="1:17" ht="12" customHeight="1" x14ac:dyDescent="0.2">
      <c r="A48" s="99" t="s">
        <v>215</v>
      </c>
      <c r="B48" s="100"/>
      <c r="C48" s="100"/>
      <c r="D48" s="100"/>
      <c r="E48" s="201">
        <v>28</v>
      </c>
      <c r="F48" s="550">
        <f>[2]!CIP1072EndBal</f>
        <v>0</v>
      </c>
      <c r="G48" s="54">
        <v>0</v>
      </c>
      <c r="H48" s="552">
        <f>H32</f>
        <v>0</v>
      </c>
      <c r="I48" s="557">
        <f t="shared" ref="I48:M48" si="4">SUM(I44:I47)</f>
        <v>0</v>
      </c>
      <c r="J48" s="557">
        <f t="shared" si="4"/>
        <v>0</v>
      </c>
      <c r="K48" s="557">
        <f t="shared" si="4"/>
        <v>0</v>
      </c>
      <c r="L48" s="557">
        <f t="shared" si="4"/>
        <v>0</v>
      </c>
      <c r="M48" s="557">
        <f t="shared" si="4"/>
        <v>0</v>
      </c>
      <c r="N48" s="552">
        <f>SUM(N44:N47)</f>
        <v>0</v>
      </c>
      <c r="O48" s="552">
        <f>SUM(O44:O47)</f>
        <v>0</v>
      </c>
      <c r="P48" s="552">
        <f>IF(G48="",F48,G48)+H48-O48</f>
        <v>0</v>
      </c>
      <c r="Q48" s="200">
        <v>28</v>
      </c>
    </row>
  </sheetData>
  <sheetProtection sheet="1" formatCells="0" formatColumns="0" formatRows="0"/>
  <mergeCells count="31">
    <mergeCell ref="H45:H47"/>
    <mergeCell ref="N28:N29"/>
    <mergeCell ref="O28:O29"/>
    <mergeCell ref="P28:P29"/>
    <mergeCell ref="O14:O15"/>
    <mergeCell ref="H28:H29"/>
    <mergeCell ref="H36:H37"/>
    <mergeCell ref="I28:I29"/>
    <mergeCell ref="J28:J29"/>
    <mergeCell ref="K28:K29"/>
    <mergeCell ref="L28:L29"/>
    <mergeCell ref="M28:M29"/>
    <mergeCell ref="P6:P7"/>
    <mergeCell ref="H11:H13"/>
    <mergeCell ref="H23:H25"/>
    <mergeCell ref="H14:H15"/>
    <mergeCell ref="H6:H7"/>
    <mergeCell ref="L6:L7"/>
    <mergeCell ref="M6:M7"/>
    <mergeCell ref="F28:F29"/>
    <mergeCell ref="F6:F7"/>
    <mergeCell ref="N3:O3"/>
    <mergeCell ref="N14:N15"/>
    <mergeCell ref="N6:N7"/>
    <mergeCell ref="D1:E1"/>
    <mergeCell ref="K1:L1"/>
    <mergeCell ref="A27:M27"/>
    <mergeCell ref="I6:I7"/>
    <mergeCell ref="J6:J7"/>
    <mergeCell ref="K6:K7"/>
    <mergeCell ref="G3:G5"/>
  </mergeCells>
  <conditionalFormatting sqref="G26">
    <cfRule type="containsBlanks" dxfId="61" priority="2">
      <formula>LEN(TRIM(G26))=0</formula>
    </cfRule>
  </conditionalFormatting>
  <conditionalFormatting sqref="G48">
    <cfRule type="containsBlanks" dxfId="60" priority="1">
      <formula>LEN(TRIM(G48))=0</formula>
    </cfRule>
  </conditionalFormatting>
  <hyperlinks>
    <hyperlink ref="G3" location="Page5AdjBeginProjBal" display="Adjusted" xr:uid="{0B1C98DD-F905-41A8-9AA6-3B0FC30A78BF}"/>
  </hyperlinks>
  <pageMargins left="0.7" right="0.7" top="0.75" bottom="0.75" header="0.3" footer="0.3"/>
  <pageSetup scale="70" orientation="landscape" r:id="rId1"/>
  <headerFooter>
    <oddFooter>&amp;LRev. 8/25 Arizona Department of Education and Auditor General&amp;CFY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2BCD-3477-455C-B39B-27A606227B57}">
  <sheetPr>
    <pageSetUpPr fitToPage="1"/>
  </sheetPr>
  <dimension ref="A1:AA41"/>
  <sheetViews>
    <sheetView showGridLines="0" topLeftCell="B19" workbookViewId="0">
      <selection activeCell="U11" sqref="U11"/>
    </sheetView>
  </sheetViews>
  <sheetFormatPr defaultColWidth="9.33203125" defaultRowHeight="12.75" x14ac:dyDescent="0.2"/>
  <cols>
    <col min="1" max="1" width="3.83203125" customWidth="1"/>
    <col min="2" max="2" width="33.33203125" customWidth="1"/>
    <col min="3" max="3" width="2" customWidth="1"/>
    <col min="4" max="4" width="16" customWidth="1"/>
    <col min="5" max="5" width="3" customWidth="1"/>
    <col min="6" max="6" width="12.83203125" customWidth="1"/>
    <col min="7" max="7" width="13" customWidth="1"/>
    <col min="8" max="9" width="3.83203125" customWidth="1"/>
    <col min="10" max="10" width="2.33203125" customWidth="1"/>
    <col min="11" max="11" width="11" customWidth="1"/>
    <col min="12" max="12" width="18.6640625" customWidth="1"/>
    <col min="13" max="13" width="6.33203125" customWidth="1"/>
    <col min="14" max="14" width="5.33203125" customWidth="1"/>
    <col min="15" max="15" width="7.33203125" customWidth="1"/>
    <col min="16" max="16" width="6.83203125" customWidth="1"/>
    <col min="17" max="17" width="9" customWidth="1"/>
    <col min="18" max="18" width="15.83203125" customWidth="1"/>
    <col min="19" max="19" width="15" customWidth="1"/>
    <col min="20" max="20" width="15.33203125" customWidth="1"/>
    <col min="21" max="21" width="12.83203125" customWidth="1"/>
    <col min="22" max="22" width="15.83203125" customWidth="1"/>
    <col min="23" max="23" width="9.33203125" customWidth="1"/>
  </cols>
  <sheetData>
    <row r="1" spans="1:27" ht="12" customHeight="1" x14ac:dyDescent="0.2">
      <c r="A1" s="549" t="s">
        <v>0</v>
      </c>
      <c r="C1" s="808" t="str">
        <f>'Cover Page'!D1</f>
        <v>Pima Rose Academy, Inc.</v>
      </c>
      <c r="D1" s="808"/>
      <c r="E1" s="808"/>
      <c r="F1" s="808"/>
      <c r="H1" t="s">
        <v>20</v>
      </c>
      <c r="I1" s="549" t="s">
        <v>1</v>
      </c>
      <c r="L1" s="1" t="str">
        <f>'Cover Page'!M1</f>
        <v>Pima</v>
      </c>
      <c r="T1" s="62" t="s">
        <v>2</v>
      </c>
      <c r="U1" s="208" t="str">
        <f>'Cover Page'!R1</f>
        <v>108602000</v>
      </c>
    </row>
    <row r="2" spans="1:27" hidden="1" x14ac:dyDescent="0.2">
      <c r="T2" s="69"/>
      <c r="U2" s="69"/>
    </row>
    <row r="3" spans="1:27" x14ac:dyDescent="0.2">
      <c r="V3" s="154"/>
    </row>
    <row r="4" spans="1:27" x14ac:dyDescent="0.2">
      <c r="A4" s="209" t="s">
        <v>216</v>
      </c>
      <c r="B4" s="69"/>
      <c r="C4" s="69"/>
      <c r="D4" s="69"/>
      <c r="E4" s="69"/>
      <c r="F4" s="69"/>
      <c r="G4" s="69"/>
      <c r="H4" s="69"/>
      <c r="I4" s="69"/>
      <c r="J4" s="69"/>
      <c r="K4" s="69"/>
      <c r="L4" s="69"/>
      <c r="M4" s="69"/>
      <c r="N4" s="69"/>
      <c r="O4" s="69"/>
      <c r="P4" s="69"/>
      <c r="Q4" s="69"/>
      <c r="R4" s="69"/>
      <c r="S4" s="69"/>
      <c r="T4" s="69"/>
      <c r="U4" s="69"/>
    </row>
    <row r="5" spans="1:27" x14ac:dyDescent="0.2">
      <c r="B5" s="690" t="s">
        <v>726</v>
      </c>
      <c r="D5" s="679" t="s">
        <v>1313</v>
      </c>
      <c r="F5" s="679" t="s">
        <v>1314</v>
      </c>
    </row>
    <row r="6" spans="1:27" x14ac:dyDescent="0.2">
      <c r="A6" t="s">
        <v>217</v>
      </c>
      <c r="B6" t="s">
        <v>218</v>
      </c>
      <c r="C6" s="7" t="s">
        <v>16</v>
      </c>
      <c r="D6" s="210">
        <f>[2]!CashBal</f>
        <v>1670904</v>
      </c>
      <c r="E6" s="7" t="s">
        <v>16</v>
      </c>
      <c r="F6" s="58">
        <v>1856024</v>
      </c>
      <c r="I6" t="s">
        <v>219</v>
      </c>
      <c r="J6" s="211" t="s">
        <v>24</v>
      </c>
      <c r="K6" s="212" t="s">
        <v>220</v>
      </c>
      <c r="L6" s="654"/>
      <c r="M6" s="653"/>
      <c r="N6" s="654"/>
      <c r="O6" s="653"/>
      <c r="P6" s="213"/>
      <c r="Q6" s="214"/>
      <c r="T6" s="27">
        <v>0</v>
      </c>
      <c r="U6" s="803"/>
      <c r="V6" s="803"/>
      <c r="W6" s="803"/>
      <c r="X6" s="803"/>
      <c r="Y6" s="803"/>
      <c r="Z6" s="803"/>
      <c r="AA6" s="803"/>
    </row>
    <row r="7" spans="1:27" x14ac:dyDescent="0.2">
      <c r="D7" s="216"/>
      <c r="F7" s="216"/>
      <c r="J7" s="211" t="s">
        <v>26</v>
      </c>
      <c r="K7" s="212" t="s">
        <v>221</v>
      </c>
      <c r="L7" s="654"/>
      <c r="M7" s="653"/>
      <c r="N7" s="654"/>
      <c r="O7" s="653"/>
      <c r="P7" s="213"/>
      <c r="Q7" s="214"/>
      <c r="T7" s="27">
        <v>0</v>
      </c>
      <c r="AA7" s="217" t="str">
        <f>IF(OR(CashBal="",F9="",G9="",F10="",G10="",G14="",G15="",G16="",G17="",G18="",G19="",F23="",F24="",F25="",F26="",F27="",F28="",G33="",G34="",G35="",G36="",G38="",G40=""),"yes","")</f>
        <v/>
      </c>
    </row>
    <row r="8" spans="1:27" x14ac:dyDescent="0.2">
      <c r="A8" t="s">
        <v>222</v>
      </c>
      <c r="B8" s="212" t="s">
        <v>223</v>
      </c>
      <c r="C8" s="7"/>
      <c r="E8" s="7"/>
      <c r="F8" s="581" t="s">
        <v>98</v>
      </c>
      <c r="G8" s="581" t="s">
        <v>23</v>
      </c>
      <c r="J8" s="211" t="s">
        <v>28</v>
      </c>
      <c r="K8" s="212" t="s">
        <v>224</v>
      </c>
      <c r="L8" s="654"/>
      <c r="M8" s="653"/>
      <c r="N8" s="654"/>
      <c r="O8" s="653"/>
      <c r="P8" s="213"/>
      <c r="Q8" s="214"/>
      <c r="T8" s="30">
        <v>19</v>
      </c>
      <c r="AA8" s="217" t="str">
        <f>IF(OR(T6="",T7="",T8="",T9="",T10="",T11="",T12="",T13="",T29=""),"yes","")</f>
        <v/>
      </c>
    </row>
    <row r="9" spans="1:27" x14ac:dyDescent="0.2">
      <c r="B9" t="s">
        <v>225</v>
      </c>
      <c r="C9" s="7"/>
      <c r="E9" s="7"/>
      <c r="F9" s="54">
        <v>27957</v>
      </c>
      <c r="G9" s="54">
        <v>29371</v>
      </c>
      <c r="J9" s="218" t="s">
        <v>31</v>
      </c>
      <c r="K9" t="s">
        <v>226</v>
      </c>
      <c r="T9" s="28">
        <v>1</v>
      </c>
      <c r="AA9" s="217" t="str">
        <f>IF(OR(M19="",P19="",R19="",S19="",T19="",M20="",P20="",R20="",S20="",T20="",M21="",P21="",R21="",S21="",T21="",M22="",P22="",R22="",S22="",T22="",M24="",P24="",R24="",S24="",T24=""),"yes","")</f>
        <v/>
      </c>
    </row>
    <row r="10" spans="1:27" ht="13.5" thickBot="1" x14ac:dyDescent="0.25">
      <c r="B10" t="s">
        <v>227</v>
      </c>
      <c r="F10" s="57">
        <v>0</v>
      </c>
      <c r="G10" s="57">
        <v>0</v>
      </c>
      <c r="J10" s="218" t="s">
        <v>33</v>
      </c>
      <c r="K10" t="s">
        <v>228</v>
      </c>
      <c r="T10" s="27">
        <v>144</v>
      </c>
      <c r="AA10" s="217" t="str">
        <f>IF(AND(AA7="",AA8="",AA9=""),"","yes")</f>
        <v/>
      </c>
    </row>
    <row r="11" spans="1:27" ht="13.5" thickBot="1" x14ac:dyDescent="0.25">
      <c r="B11" t="s">
        <v>229</v>
      </c>
      <c r="F11" s="220">
        <f>SUM(F9:F10)</f>
        <v>27957</v>
      </c>
      <c r="G11" s="220">
        <f>SUM(G9:G10)</f>
        <v>29371</v>
      </c>
      <c r="J11" s="91" t="s">
        <v>35</v>
      </c>
      <c r="K11" t="s">
        <v>230</v>
      </c>
      <c r="S11" s="7" t="s">
        <v>16</v>
      </c>
      <c r="T11" s="28">
        <v>0</v>
      </c>
    </row>
    <row r="12" spans="1:27" ht="13.5" thickTop="1" x14ac:dyDescent="0.2">
      <c r="J12" s="91" t="s">
        <v>36</v>
      </c>
      <c r="K12" t="s">
        <v>231</v>
      </c>
      <c r="S12" s="7" t="s">
        <v>16</v>
      </c>
      <c r="T12" s="28">
        <v>0</v>
      </c>
    </row>
    <row r="13" spans="1:27" x14ac:dyDescent="0.2">
      <c r="A13" t="s">
        <v>232</v>
      </c>
      <c r="B13" s="212" t="s">
        <v>233</v>
      </c>
      <c r="F13" s="581" t="s">
        <v>98</v>
      </c>
      <c r="G13" s="581" t="s">
        <v>23</v>
      </c>
      <c r="J13" s="91" t="s">
        <v>38</v>
      </c>
      <c r="K13" t="s">
        <v>234</v>
      </c>
      <c r="S13" s="7" t="s">
        <v>16</v>
      </c>
      <c r="T13" s="574">
        <v>68168</v>
      </c>
    </row>
    <row r="14" spans="1:27" x14ac:dyDescent="0.2">
      <c r="B14" t="s">
        <v>235</v>
      </c>
      <c r="F14" s="550">
        <f>[1]!CA0181IntangibleAssets</f>
        <v>0</v>
      </c>
      <c r="G14" s="52">
        <v>0</v>
      </c>
      <c r="J14" s="91"/>
      <c r="T14" s="7"/>
      <c r="U14" s="221"/>
    </row>
    <row r="15" spans="1:27" x14ac:dyDescent="0.2">
      <c r="B15" t="s">
        <v>236</v>
      </c>
      <c r="F15" s="550">
        <f>[1]!CA0191Land</f>
        <v>0</v>
      </c>
      <c r="G15" s="52">
        <v>0</v>
      </c>
    </row>
    <row r="16" spans="1:27" ht="12.75" customHeight="1" x14ac:dyDescent="0.2">
      <c r="B16" t="s">
        <v>237</v>
      </c>
      <c r="F16" s="550">
        <f>[1]!CA0192SiteImprovements</f>
        <v>0</v>
      </c>
      <c r="G16" s="52">
        <v>0</v>
      </c>
      <c r="M16" s="847" t="s">
        <v>238</v>
      </c>
      <c r="N16" s="862"/>
      <c r="O16" s="848"/>
      <c r="P16" s="847" t="s">
        <v>239</v>
      </c>
      <c r="Q16" s="848"/>
      <c r="R16" s="222" t="s">
        <v>238</v>
      </c>
      <c r="S16" s="222" t="s">
        <v>239</v>
      </c>
      <c r="T16" s="222" t="s">
        <v>240</v>
      </c>
      <c r="V16" s="8"/>
      <c r="W16" s="8"/>
    </row>
    <row r="17" spans="1:21" ht="12.75" customHeight="1" x14ac:dyDescent="0.2">
      <c r="B17" t="s">
        <v>241</v>
      </c>
      <c r="F17" s="550">
        <f>[1]!CA0194Buildings</f>
        <v>0</v>
      </c>
      <c r="G17" s="52">
        <v>0</v>
      </c>
      <c r="I17" t="s">
        <v>242</v>
      </c>
      <c r="J17" s="212" t="s">
        <v>243</v>
      </c>
      <c r="K17" s="212"/>
      <c r="L17" s="212"/>
      <c r="M17" s="855" t="s">
        <v>244</v>
      </c>
      <c r="N17" s="856"/>
      <c r="O17" s="857"/>
      <c r="P17" s="855" t="s">
        <v>244</v>
      </c>
      <c r="Q17" s="857"/>
      <c r="R17" s="223" t="s">
        <v>245</v>
      </c>
      <c r="S17" s="223" t="s">
        <v>245</v>
      </c>
      <c r="T17" s="223" t="s">
        <v>244</v>
      </c>
    </row>
    <row r="18" spans="1:21" ht="12.75" customHeight="1" x14ac:dyDescent="0.2">
      <c r="B18" t="s">
        <v>246</v>
      </c>
      <c r="F18" s="550">
        <f>[1]!CA0196Equipment</f>
        <v>0</v>
      </c>
      <c r="G18" s="52">
        <v>0</v>
      </c>
      <c r="J18" s="212" t="s">
        <v>247</v>
      </c>
      <c r="K18" s="212"/>
      <c r="L18" s="212"/>
      <c r="M18" s="858" t="s">
        <v>248</v>
      </c>
      <c r="N18" s="859"/>
      <c r="O18" s="860"/>
      <c r="P18" s="858" t="s">
        <v>249</v>
      </c>
      <c r="Q18" s="860"/>
      <c r="R18" s="224" t="s">
        <v>250</v>
      </c>
      <c r="S18" s="224" t="s">
        <v>251</v>
      </c>
      <c r="T18" s="224" t="s">
        <v>252</v>
      </c>
    </row>
    <row r="19" spans="1:21" ht="12.75" customHeight="1" thickBot="1" x14ac:dyDescent="0.25">
      <c r="B19" s="212" t="s">
        <v>253</v>
      </c>
      <c r="F19" s="219">
        <f>[1]!CA0198CIP</f>
        <v>0</v>
      </c>
      <c r="G19" s="56">
        <v>0</v>
      </c>
      <c r="J19" s="211" t="s">
        <v>24</v>
      </c>
      <c r="K19" s="212" t="s">
        <v>254</v>
      </c>
      <c r="L19" s="212"/>
      <c r="M19" s="849">
        <v>0</v>
      </c>
      <c r="N19" s="850"/>
      <c r="O19" s="854"/>
      <c r="P19" s="849">
        <v>0</v>
      </c>
      <c r="Q19" s="850"/>
      <c r="R19" s="31">
        <v>0</v>
      </c>
      <c r="S19" s="31">
        <v>0</v>
      </c>
      <c r="T19" s="31">
        <v>913596</v>
      </c>
    </row>
    <row r="20" spans="1:21" ht="13.5" customHeight="1" thickBot="1" x14ac:dyDescent="0.25">
      <c r="B20" t="s">
        <v>255</v>
      </c>
      <c r="F20" s="540">
        <f>SUM(F14:F19)</f>
        <v>0</v>
      </c>
      <c r="G20" s="220">
        <f>SUM(G14:G19)</f>
        <v>0</v>
      </c>
      <c r="J20" s="211" t="s">
        <v>26</v>
      </c>
      <c r="K20" s="212" t="s">
        <v>256</v>
      </c>
      <c r="L20" s="212"/>
      <c r="M20" s="849">
        <v>0</v>
      </c>
      <c r="N20" s="850"/>
      <c r="O20" s="854"/>
      <c r="P20" s="849">
        <v>0</v>
      </c>
      <c r="Q20" s="850"/>
      <c r="R20" s="31">
        <v>0</v>
      </c>
      <c r="S20" s="31">
        <v>0</v>
      </c>
      <c r="T20" s="31">
        <f>17979+29133</f>
        <v>47112</v>
      </c>
    </row>
    <row r="21" spans="1:21" ht="13.5" thickTop="1" x14ac:dyDescent="0.2">
      <c r="J21" s="211" t="s">
        <v>28</v>
      </c>
      <c r="K21" s="212" t="s">
        <v>257</v>
      </c>
      <c r="L21" s="212"/>
      <c r="M21" s="849">
        <v>0</v>
      </c>
      <c r="N21" s="850"/>
      <c r="O21" s="854"/>
      <c r="P21" s="849">
        <v>0</v>
      </c>
      <c r="Q21" s="850"/>
      <c r="R21" s="31">
        <v>0</v>
      </c>
      <c r="S21" s="31">
        <v>0</v>
      </c>
      <c r="T21" s="31">
        <v>0</v>
      </c>
      <c r="U21" s="221"/>
    </row>
    <row r="22" spans="1:21" ht="13.5" customHeight="1" x14ac:dyDescent="0.2">
      <c r="A22" t="s">
        <v>258</v>
      </c>
      <c r="B22" s="212" t="s">
        <v>1325</v>
      </c>
      <c r="C22" s="226"/>
      <c r="D22" s="226"/>
      <c r="E22" s="212"/>
      <c r="F22" s="212"/>
      <c r="J22" s="211" t="s">
        <v>31</v>
      </c>
      <c r="K22" s="212" t="s">
        <v>259</v>
      </c>
      <c r="L22" s="212"/>
      <c r="M22" s="851">
        <v>0</v>
      </c>
      <c r="N22" s="852"/>
      <c r="O22" s="853"/>
      <c r="P22" s="849">
        <v>0</v>
      </c>
      <c r="Q22" s="854"/>
      <c r="R22" s="31">
        <v>0</v>
      </c>
      <c r="S22" s="31">
        <v>0</v>
      </c>
      <c r="T22" s="31">
        <v>0</v>
      </c>
      <c r="U22" s="221"/>
    </row>
    <row r="23" spans="1:21" ht="13.5" customHeight="1" x14ac:dyDescent="0.2">
      <c r="B23" t="s">
        <v>235</v>
      </c>
      <c r="E23" s="7" t="s">
        <v>16</v>
      </c>
      <c r="F23" s="27">
        <v>0</v>
      </c>
      <c r="J23" s="211" t="s">
        <v>33</v>
      </c>
      <c r="K23" s="863" t="s">
        <v>260</v>
      </c>
      <c r="L23" s="864"/>
      <c r="M23" s="227"/>
      <c r="N23" s="228"/>
      <c r="O23" s="229"/>
      <c r="P23" s="228"/>
      <c r="Q23" s="229"/>
      <c r="R23" s="230"/>
      <c r="S23" s="230"/>
      <c r="T23" s="230"/>
      <c r="U23" s="221"/>
    </row>
    <row r="24" spans="1:21" ht="13.5" customHeight="1" x14ac:dyDescent="0.2">
      <c r="B24" t="s">
        <v>236</v>
      </c>
      <c r="E24" s="7" t="s">
        <v>16</v>
      </c>
      <c r="F24" s="27">
        <v>0</v>
      </c>
      <c r="J24" s="231"/>
      <c r="K24" s="863"/>
      <c r="L24" s="864"/>
      <c r="M24" s="872">
        <v>0</v>
      </c>
      <c r="N24" s="873"/>
      <c r="O24" s="874"/>
      <c r="P24" s="872">
        <v>0</v>
      </c>
      <c r="Q24" s="873"/>
      <c r="R24" s="32">
        <v>0</v>
      </c>
      <c r="S24" s="32">
        <v>0</v>
      </c>
      <c r="T24" s="32">
        <v>0</v>
      </c>
      <c r="U24" s="221"/>
    </row>
    <row r="25" spans="1:21" ht="13.5" customHeight="1" x14ac:dyDescent="0.2">
      <c r="B25" t="s">
        <v>237</v>
      </c>
      <c r="E25" s="7" t="s">
        <v>16</v>
      </c>
      <c r="F25" s="27">
        <v>0</v>
      </c>
      <c r="M25" s="29"/>
      <c r="N25" s="29"/>
      <c r="O25" s="29"/>
      <c r="P25" s="29"/>
      <c r="Q25" s="29"/>
      <c r="R25" s="29"/>
      <c r="S25" s="29"/>
      <c r="T25" s="29"/>
      <c r="U25" s="29"/>
    </row>
    <row r="26" spans="1:21" ht="13.5" customHeight="1" x14ac:dyDescent="0.2">
      <c r="B26" t="s">
        <v>241</v>
      </c>
      <c r="E26" s="7" t="s">
        <v>16</v>
      </c>
      <c r="F26" s="28">
        <v>0</v>
      </c>
      <c r="M26" s="221"/>
      <c r="N26" s="221"/>
      <c r="O26" s="221"/>
      <c r="P26" s="221"/>
      <c r="Q26" s="221"/>
      <c r="R26" s="221"/>
      <c r="S26" s="221"/>
      <c r="T26" s="221"/>
      <c r="U26" s="221"/>
    </row>
    <row r="27" spans="1:21" ht="15.75" customHeight="1" thickBot="1" x14ac:dyDescent="0.25">
      <c r="B27" t="s">
        <v>246</v>
      </c>
      <c r="E27" s="7" t="s">
        <v>16</v>
      </c>
      <c r="F27" s="27">
        <v>0</v>
      </c>
      <c r="I27" t="s">
        <v>261</v>
      </c>
      <c r="J27" s="212" t="s">
        <v>262</v>
      </c>
      <c r="K27" s="232"/>
      <c r="L27" s="232"/>
      <c r="M27" s="232"/>
      <c r="N27" s="232"/>
      <c r="O27" s="232"/>
      <c r="P27" s="232"/>
      <c r="Q27" s="232"/>
      <c r="R27" s="232"/>
      <c r="S27" s="548"/>
    </row>
    <row r="28" spans="1:21" ht="13.5" customHeight="1" thickBot="1" x14ac:dyDescent="0.3">
      <c r="B28" s="212" t="s">
        <v>253</v>
      </c>
      <c r="E28" s="7" t="s">
        <v>16</v>
      </c>
      <c r="F28" s="27">
        <v>0</v>
      </c>
      <c r="I28" s="91"/>
      <c r="K28" s="33"/>
      <c r="L28" s="670" t="s">
        <v>1315</v>
      </c>
      <c r="M28" s="233"/>
      <c r="N28" s="233"/>
      <c r="O28" s="233"/>
      <c r="P28" s="233"/>
      <c r="Q28" s="233"/>
      <c r="U28" s="548"/>
    </row>
    <row r="29" spans="1:21" ht="13.5" customHeight="1" thickBot="1" x14ac:dyDescent="0.25">
      <c r="B29" t="s">
        <v>263</v>
      </c>
      <c r="E29" s="7" t="s">
        <v>16</v>
      </c>
      <c r="F29" s="234">
        <f>SUM(F23:F28)</f>
        <v>0</v>
      </c>
      <c r="I29" s="91"/>
      <c r="J29" t="s">
        <v>24</v>
      </c>
      <c r="K29" s="670" t="s">
        <v>1316</v>
      </c>
      <c r="N29" s="235"/>
      <c r="S29" s="7" t="s">
        <v>16</v>
      </c>
      <c r="T29" s="59">
        <v>46030</v>
      </c>
      <c r="U29" s="548"/>
    </row>
    <row r="30" spans="1:21" ht="13.5" thickTop="1" x14ac:dyDescent="0.2">
      <c r="I30" s="91"/>
      <c r="J30" t="s">
        <v>26</v>
      </c>
      <c r="K30" s="670" t="s">
        <v>1317</v>
      </c>
      <c r="L30" s="157"/>
      <c r="M30" s="157"/>
      <c r="S30" s="7" t="s">
        <v>16</v>
      </c>
      <c r="T30" s="236">
        <f>'[2]Page 6'!$T$29</f>
        <v>44073</v>
      </c>
      <c r="U30" s="548"/>
    </row>
    <row r="31" spans="1:21" x14ac:dyDescent="0.2">
      <c r="A31" t="s">
        <v>264</v>
      </c>
      <c r="B31" s="212" t="s">
        <v>265</v>
      </c>
      <c r="C31" s="212"/>
      <c r="D31" s="212"/>
      <c r="E31" s="237"/>
      <c r="J31" t="s">
        <v>28</v>
      </c>
      <c r="K31" s="670" t="s">
        <v>1318</v>
      </c>
      <c r="L31" s="157"/>
      <c r="M31" s="157"/>
      <c r="S31" s="7" t="s">
        <v>16</v>
      </c>
      <c r="T31" s="238">
        <f>T29-T30</f>
        <v>1957</v>
      </c>
      <c r="U31" s="548"/>
    </row>
    <row r="32" spans="1:21" ht="13.5" thickBot="1" x14ac:dyDescent="0.25">
      <c r="B32" t="s">
        <v>266</v>
      </c>
      <c r="F32" s="7"/>
      <c r="G32" s="29"/>
      <c r="J32" s="239" t="s">
        <v>31</v>
      </c>
      <c r="K32" t="s">
        <v>267</v>
      </c>
      <c r="L32" s="240"/>
      <c r="M32" s="240"/>
      <c r="P32" s="117"/>
      <c r="Q32" s="117"/>
      <c r="R32" s="117"/>
      <c r="S32" s="7" t="s">
        <v>16</v>
      </c>
      <c r="T32" s="241">
        <f>IF(PriorYearSalary&gt;0,T31/T30,0)</f>
        <v>4.3999999999999997E-2</v>
      </c>
      <c r="U32" s="548"/>
    </row>
    <row r="33" spans="1:21" ht="13.5" customHeight="1" thickTop="1" x14ac:dyDescent="0.2">
      <c r="B33" t="s">
        <v>268</v>
      </c>
      <c r="F33" s="7" t="s">
        <v>16</v>
      </c>
      <c r="G33" s="27">
        <v>2496704</v>
      </c>
      <c r="H33" s="821" t="str">
        <f>IF('Page 2'!J48=0,"",IF(OR(G36&lt;=0),"The Charter did not report any current expenses for student support services on line 4. If the Charter did not have any expense, verify by checking the box in A16 on the Cover Page.",""))</f>
        <v/>
      </c>
      <c r="I33" s="821"/>
      <c r="J33" s="821"/>
      <c r="K33" s="821"/>
      <c r="L33" s="821"/>
      <c r="M33" s="821"/>
      <c r="N33" s="821"/>
      <c r="O33" s="821"/>
      <c r="P33" s="821"/>
      <c r="Q33" s="821"/>
      <c r="R33" s="821"/>
      <c r="S33" s="821"/>
      <c r="T33" s="8"/>
      <c r="U33" s="8"/>
    </row>
    <row r="34" spans="1:21" ht="13.5" customHeight="1" x14ac:dyDescent="0.2">
      <c r="B34" t="s">
        <v>269</v>
      </c>
      <c r="C34" s="237"/>
      <c r="D34" s="237"/>
      <c r="E34" s="237"/>
      <c r="F34" s="7" t="s">
        <v>16</v>
      </c>
      <c r="G34" s="27">
        <v>116389</v>
      </c>
      <c r="H34" s="821"/>
      <c r="I34" s="821"/>
      <c r="J34" s="821"/>
      <c r="K34" s="821"/>
      <c r="L34" s="821"/>
      <c r="M34" s="821"/>
      <c r="N34" s="821"/>
      <c r="O34" s="821"/>
      <c r="P34" s="821"/>
      <c r="Q34" s="821"/>
      <c r="R34" s="821"/>
      <c r="S34" s="821"/>
      <c r="T34" s="8"/>
      <c r="U34" s="8"/>
    </row>
    <row r="35" spans="1:21" x14ac:dyDescent="0.2">
      <c r="B35" t="s">
        <v>270</v>
      </c>
      <c r="C35" s="237"/>
      <c r="D35" s="237"/>
      <c r="E35" s="237"/>
      <c r="F35" s="7" t="s">
        <v>16</v>
      </c>
      <c r="G35" s="28">
        <v>628012</v>
      </c>
      <c r="K35" t="s">
        <v>271</v>
      </c>
    </row>
    <row r="36" spans="1:21" x14ac:dyDescent="0.2">
      <c r="B36" t="s">
        <v>272</v>
      </c>
      <c r="C36" s="237"/>
      <c r="D36" s="237"/>
      <c r="E36" s="237"/>
      <c r="F36" s="7" t="s">
        <v>16</v>
      </c>
      <c r="G36" s="27">
        <v>374903</v>
      </c>
      <c r="K36" s="866" t="s">
        <v>1532</v>
      </c>
      <c r="L36" s="867"/>
      <c r="M36" s="867"/>
      <c r="N36" s="867"/>
      <c r="O36" s="867"/>
      <c r="P36" s="867"/>
      <c r="Q36" s="867"/>
      <c r="R36" s="867"/>
      <c r="S36" s="867"/>
      <c r="T36" s="868"/>
    </row>
    <row r="37" spans="1:21" ht="15" x14ac:dyDescent="0.25">
      <c r="A37" s="242"/>
      <c r="B37" t="s">
        <v>273</v>
      </c>
      <c r="E37" s="237"/>
      <c r="F37" s="7"/>
      <c r="G37" s="29"/>
      <c r="K37" s="869"/>
      <c r="L37" s="870"/>
      <c r="M37" s="870"/>
      <c r="N37" s="870"/>
      <c r="O37" s="870"/>
      <c r="P37" s="870"/>
      <c r="Q37" s="870"/>
      <c r="R37" s="870"/>
      <c r="S37" s="870"/>
      <c r="T37" s="871"/>
    </row>
    <row r="38" spans="1:21" ht="15" x14ac:dyDescent="0.25">
      <c r="A38" s="242"/>
      <c r="B38" t="s">
        <v>274</v>
      </c>
      <c r="E38" s="237"/>
      <c r="F38" s="7" t="s">
        <v>16</v>
      </c>
      <c r="G38" s="27">
        <v>854744</v>
      </c>
      <c r="J38" s="218"/>
      <c r="K38" s="548"/>
      <c r="S38" s="7"/>
      <c r="T38" s="243"/>
    </row>
    <row r="39" spans="1:21" ht="15.75" thickBot="1" x14ac:dyDescent="0.3">
      <c r="A39" s="242"/>
      <c r="B39" s="91" t="s">
        <v>275</v>
      </c>
      <c r="F39" s="7" t="s">
        <v>16</v>
      </c>
      <c r="G39" s="234">
        <f>SUM(G33:G38)</f>
        <v>4470752</v>
      </c>
    </row>
    <row r="40" spans="1:21" ht="13.5" customHeight="1" thickTop="1" x14ac:dyDescent="0.2">
      <c r="B40" s="861" t="s">
        <v>276</v>
      </c>
      <c r="C40" s="861"/>
      <c r="D40" s="861"/>
      <c r="E40" s="861"/>
      <c r="F40" s="7" t="s">
        <v>16</v>
      </c>
      <c r="G40" s="27">
        <v>38025</v>
      </c>
    </row>
    <row r="41" spans="1:21" x14ac:dyDescent="0.2">
      <c r="B41" s="865" t="s">
        <v>277</v>
      </c>
      <c r="C41" s="865"/>
      <c r="D41" s="865"/>
      <c r="E41" s="865"/>
      <c r="F41" s="7" t="s">
        <v>16</v>
      </c>
      <c r="G41" s="215">
        <f>G39-G40</f>
        <v>4432727</v>
      </c>
    </row>
  </sheetData>
  <sheetProtection sheet="1" formatCells="0" formatColumns="0" formatRows="0"/>
  <mergeCells count="23">
    <mergeCell ref="B40:E40"/>
    <mergeCell ref="U6:AA6"/>
    <mergeCell ref="M16:O16"/>
    <mergeCell ref="K23:L24"/>
    <mergeCell ref="B41:E41"/>
    <mergeCell ref="P20:Q20"/>
    <mergeCell ref="P19:Q19"/>
    <mergeCell ref="M20:O20"/>
    <mergeCell ref="M21:O21"/>
    <mergeCell ref="P17:Q17"/>
    <mergeCell ref="K36:T37"/>
    <mergeCell ref="P24:Q24"/>
    <mergeCell ref="H33:S34"/>
    <mergeCell ref="M24:O24"/>
    <mergeCell ref="P18:Q18"/>
    <mergeCell ref="M19:O19"/>
    <mergeCell ref="C1:F1"/>
    <mergeCell ref="P16:Q16"/>
    <mergeCell ref="P21:Q21"/>
    <mergeCell ref="M22:O22"/>
    <mergeCell ref="P22:Q22"/>
    <mergeCell ref="M17:O17"/>
    <mergeCell ref="M18:O18"/>
  </mergeCells>
  <conditionalFormatting sqref="F6 F9:F10">
    <cfRule type="expression" dxfId="59" priority="16" stopIfTrue="1">
      <formula>$F6=""</formula>
    </cfRule>
  </conditionalFormatting>
  <conditionalFormatting sqref="F23:F28">
    <cfRule type="expression" dxfId="58" priority="10" stopIfTrue="1">
      <formula>$F23=""</formula>
    </cfRule>
  </conditionalFormatting>
  <conditionalFormatting sqref="G9:G10">
    <cfRule type="expression" dxfId="57" priority="15" stopIfTrue="1">
      <formula>$G9=""</formula>
    </cfRule>
  </conditionalFormatting>
  <conditionalFormatting sqref="G14:G19">
    <cfRule type="expression" dxfId="56" priority="11" stopIfTrue="1">
      <formula>$G14=""</formula>
    </cfRule>
  </conditionalFormatting>
  <conditionalFormatting sqref="G33:G36 G38 G40">
    <cfRule type="expression" dxfId="55" priority="8" stopIfTrue="1">
      <formula>$G33=""</formula>
    </cfRule>
  </conditionalFormatting>
  <conditionalFormatting sqref="G36">
    <cfRule type="expression" dxfId="54" priority="9" stopIfTrue="1">
      <formula>$H$33&lt;&gt;""</formula>
    </cfRule>
  </conditionalFormatting>
  <conditionalFormatting sqref="H33">
    <cfRule type="expression" dxfId="53" priority="18" stopIfTrue="1">
      <formula>$H$33&lt;&gt;""</formula>
    </cfRule>
  </conditionalFormatting>
  <conditionalFormatting sqref="M19:T22">
    <cfRule type="expression" dxfId="52" priority="5" stopIfTrue="1">
      <formula>M19=""</formula>
    </cfRule>
  </conditionalFormatting>
  <conditionalFormatting sqref="M24:T24">
    <cfRule type="expression" dxfId="51" priority="6" stopIfTrue="1">
      <formula>M24=""</formula>
    </cfRule>
  </conditionalFormatting>
  <conditionalFormatting sqref="T6:T13">
    <cfRule type="expression" dxfId="50" priority="7" stopIfTrue="1">
      <formula>$T6=""</formula>
    </cfRule>
  </conditionalFormatting>
  <conditionalFormatting sqref="T29:T30">
    <cfRule type="expression" dxfId="49" priority="14" stopIfTrue="1">
      <formula>$T29=""</formula>
    </cfRule>
  </conditionalFormatting>
  <dataValidations count="1">
    <dataValidation type="list" allowBlank="1" showInputMessage="1" showErrorMessage="1" sqref="K28" xr:uid="{00000000-0002-0000-0700-000000000000}">
      <formula1>"X"</formula1>
    </dataValidation>
  </dataValidations>
  <hyperlinks>
    <hyperlink ref="B8" location="AuditServices" display="AUDIT SERVICES" xr:uid="{00000000-0004-0000-0700-000000000000}"/>
    <hyperlink ref="B13" location="CapitalAcquisitions" display="CAPITAL ACQUISITIONS" xr:uid="{00000000-0004-0000-0700-000001000000}"/>
    <hyperlink ref="B22:F22" location="InvestmentInCapitalAssets" display="INVESTMENT IN CAPITAL ASSETS AS OF JUNE 30, 2013" xr:uid="{00000000-0004-0000-0700-000002000000}"/>
    <hyperlink ref="B31:D31" location="CurrentExpensesByCategory" display="CURRENT EXPENSES BY CATEGORY" xr:uid="{00000000-0004-0000-0700-000003000000}"/>
    <hyperlink ref="J17:L18" location="TeacherSalaries" display="TEACHER SALARIES (1)" xr:uid="{00000000-0004-0000-0700-000004000000}"/>
    <hyperlink ref="J19:L19" location="TeacherSalariesLine1" display="1." xr:uid="{00000000-0004-0000-0700-000005000000}"/>
    <hyperlink ref="J20:L20" location="TeacherSalariesLine2" display="2." xr:uid="{00000000-0004-0000-0700-000006000000}"/>
    <hyperlink ref="J21:L21" location="TeacherSalariesLine3" display="3." xr:uid="{00000000-0004-0000-0700-000007000000}"/>
    <hyperlink ref="J22:L22" location="TeacherSalariesLine4" display="4." xr:uid="{00000000-0004-0000-0700-000008000000}"/>
    <hyperlink ref="B19" location="CapitalAcquisitionsLine5" display="5.  0198  Construction in Progress" xr:uid="{00000000-0004-0000-0700-000009000000}"/>
    <hyperlink ref="B28" location="InvestmentInCapitalAssetsLine5" display="5.  0198  Construction in Progress" xr:uid="{00000000-0004-0000-0700-00000A000000}"/>
    <hyperlink ref="B40:D40" location="CurrentExpensesbyCategoryLines7and8" display="7. Current Expenses from Federal Projects, excluding those projects intended to replace local tax revenues (e.g., most Impact Aid Projects)" xr:uid="{00000000-0004-0000-0700-00000C000000}"/>
    <hyperlink ref="B41:E41" location="CurrentExpensesbyCategoryLines7and8" display="8. Current Expenses from State and Local Projects, including those projects intended to replace local tax revenues (e.g., most Impact Aid Projects)" xr:uid="{00000000-0004-0000-0700-00000D000000}"/>
    <hyperlink ref="K23:L24" location="TeacherSalariesLine5" display="Cocurr. Act., Athletics, &amp; Other (Program 600)" xr:uid="{00000000-0004-0000-0700-00000E000000}"/>
    <hyperlink ref="J27:R27" location="AverageTeacherSalary" display="AVERAGE TEACHER SALARY (A.R.S. §15-189.05, as added by Laws 2018, Ch. 285, §3)" xr:uid="{00000000-0004-0000-0700-00000F000000}"/>
    <hyperlink ref="J23" location="TeacherSalariesLine5" display="5." xr:uid="{00000000-0004-0000-0700-000010000000}"/>
    <hyperlink ref="B5" location="AuditServices" display="Instructions" xr:uid="{CB891C10-CC7D-4CE2-8277-7C44496949B8}"/>
    <hyperlink ref="J6:Q8" location="FullTimeEquivalentTeachers" display="1." xr:uid="{00000000-0004-0000-0700-00000B000000}"/>
  </hyperlinks>
  <pageMargins left="0.7" right="0.7" top="0.75" bottom="0.75" header="0.3" footer="0.3"/>
  <pageSetup paperSize="5" scale="82" orientation="landscape" verticalDpi="598" r:id="rId1"/>
  <headerFooter>
    <oddFooter>&amp;LRev. 8/25 Arizona Department of Education and Auditor General&amp;CFY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3BDB-7179-4DD0-A943-0C76DE5F692A}">
  <sheetPr>
    <pageSetUpPr fitToPage="1"/>
  </sheetPr>
  <dimension ref="A1:AA26"/>
  <sheetViews>
    <sheetView showGridLines="0" topLeftCell="A10" workbookViewId="0">
      <selection activeCell="T25" sqref="T25:T26"/>
    </sheetView>
  </sheetViews>
  <sheetFormatPr defaultColWidth="9.33203125" defaultRowHeight="12.75" customHeight="1" x14ac:dyDescent="0.2"/>
  <cols>
    <col min="1" max="1" width="2.83203125" customWidth="1"/>
    <col min="2" max="2" width="9.83203125" customWidth="1"/>
    <col min="3" max="3" width="10.33203125" customWidth="1"/>
    <col min="4" max="4" width="10.83203125" customWidth="1"/>
    <col min="5" max="17" width="6.83203125" customWidth="1"/>
    <col min="18" max="18" width="9.6640625" customWidth="1"/>
    <col min="19" max="19" width="10.83203125" customWidth="1"/>
    <col min="20" max="20" width="10.33203125" customWidth="1"/>
    <col min="21" max="22" width="11" customWidth="1"/>
    <col min="23" max="23" width="3.83203125" customWidth="1"/>
    <col min="24" max="24" width="9.33203125" customWidth="1"/>
  </cols>
  <sheetData>
    <row r="1" spans="1:27" ht="12.75" customHeight="1" x14ac:dyDescent="0.2">
      <c r="A1" s="549" t="s">
        <v>0</v>
      </c>
      <c r="D1" s="808" t="str">
        <f>'Cover Page'!D1</f>
        <v>Pima Rose Academy, Inc.</v>
      </c>
      <c r="E1" s="808"/>
      <c r="F1" s="808"/>
      <c r="G1" s="808"/>
      <c r="K1" s="62" t="s">
        <v>1</v>
      </c>
      <c r="L1" s="808" t="str">
        <f>'Cover Page'!M1</f>
        <v>Pima</v>
      </c>
      <c r="M1" s="808"/>
      <c r="P1" s="69"/>
      <c r="U1" s="62" t="s">
        <v>2</v>
      </c>
      <c r="V1" s="208" t="str">
        <f>'Cover Page'!R1</f>
        <v>108602000</v>
      </c>
    </row>
    <row r="2" spans="1:27" ht="12.75" customHeight="1" x14ac:dyDescent="0.2">
      <c r="Q2" s="69"/>
      <c r="T2" s="69"/>
    </row>
    <row r="3" spans="1:27" ht="12.75" customHeight="1" x14ac:dyDescent="0.2">
      <c r="A3" s="3" t="s">
        <v>278</v>
      </c>
      <c r="B3" s="4"/>
      <c r="C3" s="4"/>
      <c r="F3" s="875" t="s">
        <v>726</v>
      </c>
      <c r="G3" s="875"/>
      <c r="H3" s="875"/>
      <c r="K3" s="69"/>
      <c r="O3" s="69"/>
      <c r="P3" s="69"/>
      <c r="Q3" s="69"/>
      <c r="R3" s="69"/>
      <c r="S3" s="69"/>
      <c r="T3" s="69"/>
      <c r="U3" s="69"/>
      <c r="Y3" s="62"/>
    </row>
    <row r="4" spans="1:27" ht="6" customHeight="1" x14ac:dyDescent="0.2"/>
    <row r="5" spans="1:27" ht="12.75" customHeight="1" x14ac:dyDescent="0.2">
      <c r="A5" t="s">
        <v>279</v>
      </c>
    </row>
    <row r="6" spans="1:27" ht="12.75" customHeight="1" x14ac:dyDescent="0.2">
      <c r="E6" s="824" t="s">
        <v>280</v>
      </c>
      <c r="F6" s="837"/>
      <c r="G6" s="837"/>
      <c r="H6" s="837"/>
      <c r="I6" s="837"/>
      <c r="J6" s="837"/>
      <c r="K6" s="837"/>
      <c r="L6" s="837"/>
      <c r="M6" s="837"/>
      <c r="N6" s="837"/>
      <c r="O6" s="837"/>
      <c r="P6" s="837"/>
      <c r="Q6" s="837"/>
      <c r="R6" s="825"/>
    </row>
    <row r="7" spans="1:27" ht="12.75" customHeight="1" x14ac:dyDescent="0.2">
      <c r="B7" t="s">
        <v>281</v>
      </c>
      <c r="E7" s="581" t="s">
        <v>282</v>
      </c>
      <c r="F7" s="581">
        <v>1</v>
      </c>
      <c r="G7" s="581">
        <v>2</v>
      </c>
      <c r="H7" s="581">
        <v>3</v>
      </c>
      <c r="I7" s="581">
        <v>4</v>
      </c>
      <c r="J7" s="581">
        <v>5</v>
      </c>
      <c r="K7" s="581">
        <v>6</v>
      </c>
      <c r="L7" s="581">
        <v>7</v>
      </c>
      <c r="M7" s="581">
        <v>8</v>
      </c>
      <c r="N7" s="581">
        <v>9</v>
      </c>
      <c r="O7" s="581">
        <v>10</v>
      </c>
      <c r="P7" s="581">
        <v>11</v>
      </c>
      <c r="Q7" s="581">
        <v>12</v>
      </c>
      <c r="R7" s="581" t="s">
        <v>283</v>
      </c>
      <c r="S7" s="4"/>
      <c r="T7" s="4"/>
      <c r="AA7" s="51"/>
    </row>
    <row r="8" spans="1:27" ht="12.75" customHeight="1" x14ac:dyDescent="0.2">
      <c r="B8" t="s">
        <v>284</v>
      </c>
      <c r="E8" s="52">
        <v>0</v>
      </c>
      <c r="F8" s="52">
        <v>0</v>
      </c>
      <c r="G8" s="52">
        <v>0</v>
      </c>
      <c r="H8" s="52">
        <v>0</v>
      </c>
      <c r="I8" s="52">
        <v>0</v>
      </c>
      <c r="J8" s="52">
        <v>0</v>
      </c>
      <c r="K8" s="52">
        <v>0</v>
      </c>
      <c r="L8" s="52">
        <v>0</v>
      </c>
      <c r="M8" s="52">
        <v>0</v>
      </c>
      <c r="N8" s="52">
        <v>0</v>
      </c>
      <c r="O8" s="52">
        <v>0</v>
      </c>
      <c r="P8" s="52">
        <v>0</v>
      </c>
      <c r="Q8" s="52">
        <v>0</v>
      </c>
      <c r="R8" s="552">
        <f>SUM(E8:Q8)</f>
        <v>0</v>
      </c>
      <c r="S8" s="244" t="s">
        <v>24</v>
      </c>
      <c r="AA8" s="51" t="str">
        <f>IF(OR(E8="",F8="",G8="",H8="",I8="",J8="",K8="",L8="",M8="",N8="",O8="",P8="",Q8="",E9="",F9="",G9="",H9="",I9="",J9="",K9="",L9="",M9="",N9="",O9="",P9="",Q9=""),"yes","")</f>
        <v/>
      </c>
    </row>
    <row r="9" spans="1:27" ht="12.75" customHeight="1" x14ac:dyDescent="0.2">
      <c r="B9" t="s">
        <v>285</v>
      </c>
      <c r="E9" s="52">
        <v>0</v>
      </c>
      <c r="F9" s="52">
        <v>0</v>
      </c>
      <c r="G9" s="52">
        <v>0</v>
      </c>
      <c r="H9" s="52">
        <v>0</v>
      </c>
      <c r="I9" s="52">
        <v>0</v>
      </c>
      <c r="J9" s="52">
        <v>0</v>
      </c>
      <c r="K9" s="52">
        <v>0</v>
      </c>
      <c r="L9" s="52">
        <v>0</v>
      </c>
      <c r="M9" s="52">
        <v>0</v>
      </c>
      <c r="N9" s="52">
        <v>0</v>
      </c>
      <c r="O9" s="52">
        <v>0</v>
      </c>
      <c r="P9" s="52">
        <v>0</v>
      </c>
      <c r="Q9" s="52">
        <v>0</v>
      </c>
      <c r="R9" s="552">
        <f>SUM(E9:Q9)</f>
        <v>0</v>
      </c>
      <c r="S9" s="244" t="s">
        <v>26</v>
      </c>
      <c r="AA9" s="51" t="str">
        <f>IF(OR(E10="",F10="",G10="",H10="",I10="",J10="",K10="",L10="",M10="",N10="",O10="",P10="",Q10=""),"yes","")</f>
        <v/>
      </c>
    </row>
    <row r="10" spans="1:27" ht="12.75" customHeight="1" thickBot="1" x14ac:dyDescent="0.25">
      <c r="B10" t="s">
        <v>286</v>
      </c>
      <c r="E10" s="56">
        <v>0</v>
      </c>
      <c r="F10" s="56">
        <v>0</v>
      </c>
      <c r="G10" s="56">
        <v>0</v>
      </c>
      <c r="H10" s="56">
        <v>0</v>
      </c>
      <c r="I10" s="56">
        <v>0</v>
      </c>
      <c r="J10" s="56">
        <v>0</v>
      </c>
      <c r="K10" s="56">
        <v>0</v>
      </c>
      <c r="L10" s="56">
        <v>0</v>
      </c>
      <c r="M10" s="56">
        <v>0</v>
      </c>
      <c r="N10" s="56">
        <v>0</v>
      </c>
      <c r="O10" s="56">
        <v>0</v>
      </c>
      <c r="P10" s="56">
        <v>0</v>
      </c>
      <c r="Q10" s="56">
        <v>0</v>
      </c>
      <c r="R10" s="225">
        <f>SUM(E10:Q10)</f>
        <v>0</v>
      </c>
      <c r="S10" s="244" t="s">
        <v>28</v>
      </c>
      <c r="AA10" s="51"/>
    </row>
    <row r="11" spans="1:27" ht="12.75" customHeight="1" x14ac:dyDescent="0.2">
      <c r="B11" t="s">
        <v>287</v>
      </c>
      <c r="E11" s="876">
        <f t="shared" ref="E11:Q11" si="0">SUM(E8:E10)</f>
        <v>0</v>
      </c>
      <c r="F11" s="876">
        <f t="shared" si="0"/>
        <v>0</v>
      </c>
      <c r="G11" s="876">
        <f t="shared" si="0"/>
        <v>0</v>
      </c>
      <c r="H11" s="876">
        <f t="shared" si="0"/>
        <v>0</v>
      </c>
      <c r="I11" s="876">
        <f t="shared" si="0"/>
        <v>0</v>
      </c>
      <c r="J11" s="876">
        <f t="shared" ref="J11" si="1">SUM(J8:J10)</f>
        <v>0</v>
      </c>
      <c r="K11" s="876">
        <f t="shared" si="0"/>
        <v>0</v>
      </c>
      <c r="L11" s="876">
        <f t="shared" si="0"/>
        <v>0</v>
      </c>
      <c r="M11" s="876">
        <f>SUM(M8:M10)</f>
        <v>0</v>
      </c>
      <c r="N11" s="876">
        <f t="shared" si="0"/>
        <v>0</v>
      </c>
      <c r="O11" s="876">
        <f t="shared" si="0"/>
        <v>0</v>
      </c>
      <c r="P11" s="876">
        <f t="shared" si="0"/>
        <v>0</v>
      </c>
      <c r="Q11" s="876">
        <f t="shared" si="0"/>
        <v>0</v>
      </c>
      <c r="R11" s="876">
        <f>SUM(E11:Q11)</f>
        <v>0</v>
      </c>
      <c r="S11" s="244"/>
      <c r="AA11" s="51" t="str">
        <f>IF(OR(D17="",D18="",T16="",T17="",T18="",T19="",T20="",T21="",T22="",T25=""),"yes","")</f>
        <v/>
      </c>
    </row>
    <row r="12" spans="1:27" ht="13.5" thickBot="1" x14ac:dyDescent="0.25">
      <c r="B12" t="s">
        <v>288</v>
      </c>
      <c r="E12" s="877"/>
      <c r="F12" s="877"/>
      <c r="G12" s="877"/>
      <c r="H12" s="877"/>
      <c r="I12" s="877"/>
      <c r="J12" s="877"/>
      <c r="K12" s="877"/>
      <c r="L12" s="877"/>
      <c r="M12" s="877"/>
      <c r="N12" s="877"/>
      <c r="O12" s="877"/>
      <c r="P12" s="877"/>
      <c r="Q12" s="877"/>
      <c r="R12" s="877"/>
      <c r="S12" s="244" t="s">
        <v>31</v>
      </c>
      <c r="AA12" s="51" t="str">
        <f>IF(AND(AA8="",AA9="",AA11=""),"","yes")</f>
        <v/>
      </c>
    </row>
    <row r="13" spans="1:27" ht="16.5" customHeight="1" thickTop="1" x14ac:dyDescent="0.2">
      <c r="AA13" s="51"/>
    </row>
    <row r="14" spans="1:27" ht="12.75" customHeight="1" x14ac:dyDescent="0.2">
      <c r="A14" s="878" t="s">
        <v>289</v>
      </c>
      <c r="B14" s="878"/>
      <c r="C14" s="878"/>
      <c r="D14" s="878"/>
      <c r="E14" s="878"/>
      <c r="G14" s="245"/>
      <c r="AA14" s="51"/>
    </row>
    <row r="15" spans="1:27" ht="26.1" customHeight="1" x14ac:dyDescent="0.2">
      <c r="A15" s="212"/>
      <c r="B15" s="880" t="s">
        <v>290</v>
      </c>
      <c r="C15" s="880"/>
      <c r="D15" s="880"/>
      <c r="E15" s="880"/>
      <c r="G15" s="246"/>
      <c r="K15" s="541" t="s">
        <v>291</v>
      </c>
      <c r="L15" s="541"/>
      <c r="M15" s="541"/>
      <c r="N15" s="541"/>
      <c r="O15" s="541"/>
      <c r="P15" s="541"/>
      <c r="Q15" s="541"/>
      <c r="R15" s="541"/>
      <c r="S15" s="247" t="s">
        <v>292</v>
      </c>
      <c r="T15" s="248" t="s">
        <v>293</v>
      </c>
      <c r="AA15" s="51"/>
    </row>
    <row r="16" spans="1:27" ht="12.75" customHeight="1" x14ac:dyDescent="0.2">
      <c r="B16" s="567" t="s">
        <v>294</v>
      </c>
      <c r="K16" s="66" t="s">
        <v>24</v>
      </c>
      <c r="L16" s="878" t="s">
        <v>295</v>
      </c>
      <c r="M16" s="878"/>
      <c r="N16" s="878"/>
      <c r="O16" s="878"/>
      <c r="P16" s="878"/>
      <c r="S16" s="550">
        <f>'[1]Page 2'!$N$5</f>
        <v>203785</v>
      </c>
      <c r="T16" s="54">
        <v>159539</v>
      </c>
      <c r="U16" s="244" t="s">
        <v>24</v>
      </c>
    </row>
    <row r="17" spans="1:21" ht="12.75" customHeight="1" x14ac:dyDescent="0.2">
      <c r="B17" t="s">
        <v>296</v>
      </c>
      <c r="C17" s="7" t="s">
        <v>16</v>
      </c>
      <c r="D17" s="27">
        <v>0</v>
      </c>
      <c r="K17" s="66" t="s">
        <v>26</v>
      </c>
      <c r="L17" s="878" t="s">
        <v>297</v>
      </c>
      <c r="M17" s="878"/>
      <c r="N17" s="878"/>
      <c r="O17" s="176"/>
      <c r="S17" s="550">
        <f>[1]!P200GiftedEducation</f>
        <v>0</v>
      </c>
      <c r="T17" s="54">
        <v>0</v>
      </c>
      <c r="U17" s="244" t="s">
        <v>26</v>
      </c>
    </row>
    <row r="18" spans="1:21" ht="12.75" customHeight="1" x14ac:dyDescent="0.2">
      <c r="B18" s="244" t="s">
        <v>298</v>
      </c>
      <c r="C18" s="7" t="s">
        <v>16</v>
      </c>
      <c r="D18" s="28">
        <v>0</v>
      </c>
      <c r="K18" s="66" t="s">
        <v>28</v>
      </c>
      <c r="L18" t="s">
        <v>299</v>
      </c>
      <c r="S18" s="554">
        <f>[1]!P200ELLIncrementalCosts</f>
        <v>0</v>
      </c>
      <c r="T18" s="54">
        <v>0</v>
      </c>
      <c r="U18" s="244" t="s">
        <v>28</v>
      </c>
    </row>
    <row r="19" spans="1:21" ht="12.75" customHeight="1" thickBot="1" x14ac:dyDescent="0.25">
      <c r="B19" t="s">
        <v>300</v>
      </c>
      <c r="C19" s="7" t="s">
        <v>16</v>
      </c>
      <c r="D19" s="249">
        <f>SUM(D17:D18)</f>
        <v>0</v>
      </c>
      <c r="E19" s="176"/>
      <c r="K19" s="66" t="s">
        <v>31</v>
      </c>
      <c r="L19" t="s">
        <v>301</v>
      </c>
      <c r="S19" s="550">
        <f>[1]!P200ELLCompensatoryInstruction</f>
        <v>0</v>
      </c>
      <c r="T19" s="54">
        <v>0</v>
      </c>
      <c r="U19" s="244" t="s">
        <v>31</v>
      </c>
    </row>
    <row r="20" spans="1:21" ht="12.75" customHeight="1" thickTop="1" x14ac:dyDescent="0.2">
      <c r="K20" s="66" t="s">
        <v>33</v>
      </c>
      <c r="L20" t="s">
        <v>302</v>
      </c>
      <c r="S20" s="550">
        <f>[1]!P200RemedialEducation</f>
        <v>0</v>
      </c>
      <c r="T20" s="54">
        <v>0</v>
      </c>
      <c r="U20" s="244" t="s">
        <v>33</v>
      </c>
    </row>
    <row r="21" spans="1:21" x14ac:dyDescent="0.2">
      <c r="K21" s="66" t="s">
        <v>35</v>
      </c>
      <c r="L21" t="s">
        <v>303</v>
      </c>
      <c r="S21" s="550">
        <f>[1]!P200VocationalandTechnologicalEd</f>
        <v>0</v>
      </c>
      <c r="T21" s="54">
        <v>0</v>
      </c>
      <c r="U21" s="244" t="s">
        <v>35</v>
      </c>
    </row>
    <row r="22" spans="1:21" ht="12" customHeight="1" thickBot="1" x14ac:dyDescent="0.25">
      <c r="K22" s="66" t="s">
        <v>36</v>
      </c>
      <c r="L22" t="s">
        <v>304</v>
      </c>
      <c r="S22" s="219">
        <f>[1]!P200CareerEducation</f>
        <v>0</v>
      </c>
      <c r="T22" s="57">
        <v>0</v>
      </c>
      <c r="U22" s="244" t="s">
        <v>36</v>
      </c>
    </row>
    <row r="23" spans="1:21" ht="12.75" customHeight="1" thickBot="1" x14ac:dyDescent="0.25">
      <c r="K23" s="66" t="s">
        <v>38</v>
      </c>
      <c r="L23" s="879" t="s">
        <v>305</v>
      </c>
      <c r="M23" s="879"/>
      <c r="N23" s="879"/>
      <c r="O23" s="879"/>
      <c r="P23" s="879"/>
      <c r="Q23" s="8"/>
      <c r="S23" s="250">
        <f>SUM(S16:S22)</f>
        <v>203785</v>
      </c>
      <c r="T23" s="250">
        <f>SUM(T16:T22)</f>
        <v>159539</v>
      </c>
      <c r="U23" s="244" t="s">
        <v>38</v>
      </c>
    </row>
    <row r="24" spans="1:21" ht="12.75" customHeight="1" thickTop="1" x14ac:dyDescent="0.2">
      <c r="A24" s="7"/>
      <c r="B24" s="803"/>
      <c r="C24" s="803"/>
      <c r="D24" s="803"/>
      <c r="E24" s="803"/>
      <c r="F24" s="803"/>
      <c r="G24" s="803"/>
      <c r="H24" s="803"/>
      <c r="K24" s="66"/>
      <c r="U24" s="244"/>
    </row>
    <row r="25" spans="1:21" ht="12.75" customHeight="1" x14ac:dyDescent="0.2">
      <c r="A25" s="7"/>
      <c r="B25" s="803"/>
      <c r="C25" s="803"/>
      <c r="D25" s="803"/>
      <c r="E25" s="803"/>
      <c r="F25" s="803"/>
      <c r="G25" s="803"/>
      <c r="H25" s="803"/>
      <c r="K25" s="66" t="s">
        <v>40</v>
      </c>
      <c r="L25" s="883" t="s">
        <v>306</v>
      </c>
      <c r="M25" s="883"/>
      <c r="N25" s="883"/>
      <c r="O25" s="883"/>
      <c r="P25" s="883"/>
      <c r="Q25" s="883"/>
      <c r="R25" s="884"/>
      <c r="S25" s="881">
        <f>'[1]Page 2'!$N$14</f>
        <v>0</v>
      </c>
      <c r="T25" s="885">
        <v>0</v>
      </c>
      <c r="U25" s="244" t="s">
        <v>40</v>
      </c>
    </row>
    <row r="26" spans="1:21" ht="19.5" customHeight="1" thickBot="1" x14ac:dyDescent="0.25">
      <c r="A26" s="66"/>
      <c r="L26" s="883"/>
      <c r="M26" s="883"/>
      <c r="N26" s="883"/>
      <c r="O26" s="883"/>
      <c r="P26" s="883"/>
      <c r="Q26" s="883"/>
      <c r="R26" s="884"/>
      <c r="S26" s="882"/>
      <c r="T26" s="886"/>
    </row>
  </sheetData>
  <sheetProtection sheet="1" formatCells="0" formatColumns="0" formatRows="0"/>
  <mergeCells count="28">
    <mergeCell ref="S25:S26"/>
    <mergeCell ref="L25:R26"/>
    <mergeCell ref="T25:T26"/>
    <mergeCell ref="Q11:Q12"/>
    <mergeCell ref="R11:R12"/>
    <mergeCell ref="B24:H24"/>
    <mergeCell ref="B25:H25"/>
    <mergeCell ref="L17:N17"/>
    <mergeCell ref="L23:P23"/>
    <mergeCell ref="A14:E14"/>
    <mergeCell ref="B15:E15"/>
    <mergeCell ref="L16:P16"/>
    <mergeCell ref="F3:H3"/>
    <mergeCell ref="D1:G1"/>
    <mergeCell ref="L1:M1"/>
    <mergeCell ref="E11:E12"/>
    <mergeCell ref="F11:F12"/>
    <mergeCell ref="G11:G12"/>
    <mergeCell ref="H11:H12"/>
    <mergeCell ref="J11:J12"/>
    <mergeCell ref="K11:K12"/>
    <mergeCell ref="L11:L12"/>
    <mergeCell ref="I11:I12"/>
    <mergeCell ref="E6:R6"/>
    <mergeCell ref="M11:M12"/>
    <mergeCell ref="N11:N12"/>
    <mergeCell ref="O11:O12"/>
    <mergeCell ref="P11:P12"/>
  </mergeCells>
  <conditionalFormatting sqref="D17:D18">
    <cfRule type="expression" dxfId="48" priority="2" stopIfTrue="1">
      <formula>$D17=""</formula>
    </cfRule>
  </conditionalFormatting>
  <conditionalFormatting sqref="E8:Q10">
    <cfRule type="expression" dxfId="47" priority="5" stopIfTrue="1">
      <formula>E8=""</formula>
    </cfRule>
  </conditionalFormatting>
  <conditionalFormatting sqref="T16:T22 T25">
    <cfRule type="expression" dxfId="46" priority="3" stopIfTrue="1">
      <formula>$T16=""</formula>
    </cfRule>
  </conditionalFormatting>
  <hyperlinks>
    <hyperlink ref="K17:N17" location="TotalActualGiftedExpenses" display="15." xr:uid="{00000000-0004-0000-0800-000000000000}"/>
    <hyperlink ref="K23:P23" r:id="rId1" display="22." xr:uid="{00000000-0004-0000-0800-000001000000}"/>
    <hyperlink ref="A14:E15" location="TotalActualGiftedExpenses" display="B. EXPENSES FOR GIFTED PUPILS " xr:uid="{00000000-0004-0000-0800-000002000000}"/>
    <hyperlink ref="L16:P16" location="AllDisabilityClassifications" display="Total All Disability Classifications" xr:uid="{00000000-0004-0000-0800-000003000000}"/>
    <hyperlink ref="K25" r:id="rId2" display="22." xr:uid="{00000000-0004-0000-0800-000004000000}"/>
    <hyperlink ref="L25:R26" location="Section_C_Transportation" display="Expenses incurred for transporting students with disabilities (as defined in A.R.S. §15-761) unique to the IEP" xr:uid="{00000000-0004-0000-0800-000005000000}"/>
    <hyperlink ref="L15" location="SpecialEdProgramsByType" display="D. SPECIAL EDUCATION PROGRAMS BY TYPE" xr:uid="{00000000-0004-0000-0800-000006000000}"/>
    <hyperlink ref="S15" location="SpecialEdProgramsByType" display="Program 200 budget" xr:uid="{00000000-0004-0000-0800-000007000000}"/>
    <hyperlink ref="T15" location="SpecialEdProgramsByType" display="Program 200 actual" xr:uid="{00000000-0004-0000-0800-000008000000}"/>
    <hyperlink ref="K15:R15" location="SpecialEdProgramsByType" display="C. Special education programs by type" xr:uid="{00000000-0004-0000-0800-000009000000}"/>
    <hyperlink ref="F3:H3" location="TotalActualGiftedExpenses" display="Instructions" xr:uid="{BCB3B9A7-2FBF-47FB-A6F2-A0A0568F4753}"/>
  </hyperlinks>
  <pageMargins left="0.7" right="0.7" top="0.75" bottom="0.75" header="0.3" footer="0.3"/>
  <pageSetup scale="76" orientation="landscape" verticalDpi="598" r:id="rId3"/>
  <headerFooter>
    <oddFooter>&amp;LRev. 8/25 Arizona Department of Education and Auditor General&amp;CFY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F450-DE68-4942-B800-97A2E5966727}">
  <sheetPr>
    <pageSetUpPr fitToPage="1"/>
  </sheetPr>
  <dimension ref="A1:AC42"/>
  <sheetViews>
    <sheetView showGridLines="0" topLeftCell="A24" workbookViewId="0">
      <selection activeCell="K39" sqref="K39"/>
    </sheetView>
  </sheetViews>
  <sheetFormatPr defaultColWidth="9.33203125" defaultRowHeight="12.75" x14ac:dyDescent="0.2"/>
  <cols>
    <col min="1" max="1" width="21.33203125" customWidth="1"/>
    <col min="2" max="2" width="19.33203125" customWidth="1"/>
    <col min="3" max="3" width="13" customWidth="1"/>
    <col min="4" max="4" width="3.83203125" style="7" customWidth="1"/>
    <col min="5" max="12" width="13.83203125" customWidth="1"/>
    <col min="13" max="13" width="15.33203125" customWidth="1"/>
    <col min="14" max="14" width="13.83203125" customWidth="1"/>
    <col min="15" max="15" width="3.33203125" bestFit="1" customWidth="1"/>
    <col min="16" max="17" width="9.33203125" customWidth="1"/>
    <col min="18" max="18" width="9.33203125" hidden="1" customWidth="1"/>
    <col min="19" max="19" width="11" hidden="1" customWidth="1"/>
    <col min="20" max="25" width="9.33203125" hidden="1" customWidth="1"/>
    <col min="26" max="26" width="9.33203125" customWidth="1"/>
  </cols>
  <sheetData>
    <row r="1" spans="1:29" x14ac:dyDescent="0.2">
      <c r="A1" s="549" t="s">
        <v>0</v>
      </c>
      <c r="B1" s="808" t="str">
        <f>'Cover Page'!D1</f>
        <v>Pima Rose Academy, Inc.</v>
      </c>
      <c r="C1" s="808"/>
      <c r="D1" s="808"/>
      <c r="G1" s="62" t="s">
        <v>1</v>
      </c>
      <c r="H1" s="808" t="str">
        <f>'Cover Page'!M1</f>
        <v>Pima</v>
      </c>
      <c r="I1" s="808"/>
      <c r="M1" s="62" t="s">
        <v>2</v>
      </c>
      <c r="N1" s="2" t="str">
        <f>'Cover Page'!R1</f>
        <v>108602000</v>
      </c>
    </row>
    <row r="3" spans="1:29" x14ac:dyDescent="0.2">
      <c r="A3" s="800" t="s">
        <v>307</v>
      </c>
      <c r="B3" s="800"/>
      <c r="C3" s="800"/>
      <c r="D3" s="887"/>
      <c r="E3" s="570" t="s">
        <v>184</v>
      </c>
      <c r="F3" s="607" t="s">
        <v>308</v>
      </c>
      <c r="G3" s="570"/>
      <c r="H3" s="570" t="s">
        <v>309</v>
      </c>
      <c r="I3" s="570"/>
      <c r="J3" s="178"/>
      <c r="K3" s="177"/>
      <c r="L3" s="177" t="s">
        <v>310</v>
      </c>
      <c r="M3" s="570" t="s">
        <v>311</v>
      </c>
      <c r="N3" s="570" t="s">
        <v>187</v>
      </c>
    </row>
    <row r="4" spans="1:29" x14ac:dyDescent="0.2">
      <c r="B4" s="875" t="s">
        <v>726</v>
      </c>
      <c r="C4" s="875"/>
      <c r="E4" s="81" t="s">
        <v>190</v>
      </c>
      <c r="F4" s="608" t="s">
        <v>184</v>
      </c>
      <c r="G4" s="81" t="s">
        <v>21</v>
      </c>
      <c r="H4" s="81" t="s">
        <v>312</v>
      </c>
      <c r="I4" s="81" t="s">
        <v>313</v>
      </c>
      <c r="J4" s="888" t="s">
        <v>89</v>
      </c>
      <c r="K4" s="889"/>
      <c r="L4" s="251" t="s">
        <v>314</v>
      </c>
      <c r="M4" s="81" t="s">
        <v>315</v>
      </c>
      <c r="N4" s="81" t="s">
        <v>190</v>
      </c>
      <c r="AA4" s="548"/>
      <c r="AB4" s="51"/>
      <c r="AC4" s="51"/>
    </row>
    <row r="5" spans="1:29" x14ac:dyDescent="0.2">
      <c r="A5" s="549" t="s">
        <v>316</v>
      </c>
      <c r="E5" s="86" t="s">
        <v>99</v>
      </c>
      <c r="F5" s="609" t="s">
        <v>483</v>
      </c>
      <c r="G5" s="86" t="s">
        <v>99</v>
      </c>
      <c r="H5" s="86" t="s">
        <v>99</v>
      </c>
      <c r="I5" s="86" t="s">
        <v>99</v>
      </c>
      <c r="J5" s="581" t="s">
        <v>98</v>
      </c>
      <c r="K5" s="581" t="s">
        <v>23</v>
      </c>
      <c r="L5" s="86" t="s">
        <v>317</v>
      </c>
      <c r="M5" s="86" t="s">
        <v>99</v>
      </c>
      <c r="N5" s="86" t="s">
        <v>99</v>
      </c>
      <c r="T5" s="548"/>
      <c r="AB5" s="51"/>
      <c r="AC5" s="51"/>
    </row>
    <row r="6" spans="1:29" x14ac:dyDescent="0.2">
      <c r="A6" t="s">
        <v>318</v>
      </c>
      <c r="D6" s="7" t="s">
        <v>24</v>
      </c>
      <c r="E6" s="550">
        <f>[2]!FP11001130EndBal</f>
        <v>0</v>
      </c>
      <c r="F6" s="54">
        <v>0</v>
      </c>
      <c r="G6" s="550">
        <f>-(SUMIFS('Accounting data'!$G$2:$G$37000,'Accounting data'!$H$2:$H$37000,"1100*",'Accounting data'!$K$2:$K$37000,"1*")+SUMIFS('Accounting data'!$G$2:$G$37000,'Accounting data'!$H$2:$H$37000,"1100*",'Accounting data'!$K$2:$K$37000,"2*")+SUMIFS('Accounting data'!$G$2:$G$37000,'Accounting data'!$H$2:$H$37000,"1100*",'Accounting data'!$K$2:$K$37000,"3*")+SUMIFS('Accounting data'!$G$2:$G$37000,'Accounting data'!$H$2:$H$37000,"1100*",'Accounting data'!$K$2:$K$37000,"4*")+SUMIFS('Accounting data'!$G$2:$G$37000,'Accounting data'!$H$2:$H$37000,"1100*",'Accounting data'!$K$2:$K$37000,"Other*"))</f>
        <v>0</v>
      </c>
      <c r="H6" s="552">
        <f>SUMIFS('Accounting data'!$G$2:$G$37000,'Accounting data'!$H$2:$H$37000,"1100*",'Accounting data'!$K$2:$K$37000,"69*")</f>
        <v>0</v>
      </c>
      <c r="I6" s="52">
        <v>0</v>
      </c>
      <c r="J6" s="550">
        <f>[1]!FP11001130TitleI</f>
        <v>0</v>
      </c>
      <c r="K6" s="552">
        <f>SUMIFS('Accounting data'!$G$2:$G$37000,'Accounting data'!$H$2:$H$37000,"1100*",'Accounting data'!$K$2:$K$37000,"6*")-SUMIFS('Accounting data'!$G$2:$G$37000,'Accounting data'!$H$2:$H$37000,"1100*",'Accounting data'!$K$2:$K$37000,"69*")-SUMIFS('Accounting data'!$G$2:$G$37000,'Accounting data'!$H$2:$H$37000,"1100*",'Accounting data'!$K$2:$K$37000,"67*")</f>
        <v>0</v>
      </c>
      <c r="L6" s="252"/>
      <c r="M6" s="52">
        <v>0</v>
      </c>
      <c r="N6" s="552">
        <f>SUM(IF(F6="",E6,F6)+G6-H6-I6-K6-M6)</f>
        <v>0</v>
      </c>
      <c r="O6" s="218" t="s">
        <v>24</v>
      </c>
      <c r="P6" s="29"/>
      <c r="AB6" s="51"/>
      <c r="AC6" s="51" t="str">
        <f>IF(OR(I6="",I7="",I8="",I9="",I10="",I11="",I12="",I13="",I14="",I15="",I16="",I17="",I18="",I19="",I20="",I21="",I22=""),"yes","")</f>
        <v/>
      </c>
    </row>
    <row r="7" spans="1:29" x14ac:dyDescent="0.2">
      <c r="A7" t="s">
        <v>319</v>
      </c>
      <c r="D7" s="7" t="s">
        <v>26</v>
      </c>
      <c r="E7" s="550">
        <f>[2]!FP11401150EndBal</f>
        <v>0</v>
      </c>
      <c r="F7" s="54">
        <v>0</v>
      </c>
      <c r="G7" s="550">
        <f>-(SUMIFS('Accounting data'!$G$2:$G$37000,'Accounting data'!$H$2:$H$37000,"1140*",'Accounting data'!$K$2:$K$37000,"1*")+SUMIFS('Accounting data'!$G$2:$G$37000,'Accounting data'!$H$2:$H$37000,"1140*",'Accounting data'!$K$2:$K$37000,"2*")+SUMIFS('Accounting data'!$G$2:$G$37000,'Accounting data'!$H$2:$H$37000,"1140*",'Accounting data'!$K$2:$K$37000,"3*")+SUMIFS('Accounting data'!$G$2:$G$37000,'Accounting data'!$H$2:$H$37000,"1140*",'Accounting data'!$K$2:$K$37000,"4*")+SUMIFS('Accounting data'!$G$2:$G$37000,'Accounting data'!$H$2:$H$37000,"1140*",'Accounting data'!$K$2:$K$37000,"Other*"))</f>
        <v>0</v>
      </c>
      <c r="H7" s="552">
        <f>SUMIFS('Accounting data'!$G$2:$G$37000,'Accounting data'!$H$2:$H$37000,"1140*",'Accounting data'!$K$2:$K$37000,"69*")</f>
        <v>0</v>
      </c>
      <c r="I7" s="52">
        <v>0</v>
      </c>
      <c r="J7" s="550">
        <f>[1]!FP11401150TitleII</f>
        <v>0</v>
      </c>
      <c r="K7" s="552">
        <f>SUMIFS('Accounting data'!$G$2:$G$37000,'Accounting data'!$H$2:$H$37000,"1140*",'Accounting data'!$K$2:$K$37000,"6*")-SUMIFS('Accounting data'!$G$2:$G$37000,'Accounting data'!$H$2:$H$37000,"1140*",'Accounting data'!$K$2:$K$37000,"69*")-SUMIFS('Accounting data'!$G$2:$G$37000,'Accounting data'!$H$2:$H$37000,"1140*",'Accounting data'!$K$2:$K$37000,"67*")</f>
        <v>0</v>
      </c>
      <c r="L7" s="252"/>
      <c r="M7" s="52">
        <v>0</v>
      </c>
      <c r="N7" s="552">
        <f>SUM(IF(F7="",E7,F7)+G7-H7-I7-K7-M7)</f>
        <v>0</v>
      </c>
      <c r="O7" t="s">
        <v>26</v>
      </c>
      <c r="AB7" s="51"/>
      <c r="AC7" s="51" t="str">
        <f>IF(OR(M6="",M7="",M8="",M9="",M10="",M11="",M12="",M13="",M14="",M15="",M16="",M17="",M18="",M19="",M20="",M21="",M22=""),"yes","")</f>
        <v/>
      </c>
    </row>
    <row r="8" spans="1:29" x14ac:dyDescent="0.2">
      <c r="A8" t="s">
        <v>320</v>
      </c>
      <c r="D8" s="7" t="s">
        <v>28</v>
      </c>
      <c r="E8" s="550">
        <f>[2]!FP1160EndBal</f>
        <v>0</v>
      </c>
      <c r="F8" s="54">
        <v>0</v>
      </c>
      <c r="G8" s="550">
        <f>-(SUMIFS('Accounting data'!$G$2:$G$37000,'Accounting data'!$H$2:$H$37000,"1160*",'Accounting data'!$K$2:$K$37000,"1*")+SUMIFS('Accounting data'!$G$2:$G$37000,'Accounting data'!$H$2:$H$37000,"1160*",'Accounting data'!$K$2:$K$37000,"2*")+SUMIFS('Accounting data'!$G$2:$G$37000,'Accounting data'!$H$2:$H$37000,"1160*",'Accounting data'!$K$2:$K$37000,"3*")+SUMIFS('Accounting data'!$G$2:$G$37000,'Accounting data'!$H$2:$H$37000,"1160*",'Accounting data'!$K$2:$K$37000,"4*")+SUMIFS('Accounting data'!$G$2:$G$37000,'Accounting data'!$H$2:$H$37000,"1160*",'Accounting data'!$K$2:$K$37000,"Other*"))</f>
        <v>0</v>
      </c>
      <c r="H8" s="552">
        <f>SUMIFS('Accounting data'!$G$2:$G$37000,'Accounting data'!$H$2:$H$37000,"1160*",'Accounting data'!$K$2:$K$37000,"69*")</f>
        <v>0</v>
      </c>
      <c r="I8" s="52">
        <v>0</v>
      </c>
      <c r="J8" s="550">
        <f>[1]!FP1160TitleIV</f>
        <v>0</v>
      </c>
      <c r="K8" s="552">
        <f>SUMIFS('Accounting data'!$G$2:$G$37000,'Accounting data'!$H$2:$H$37000,"1160*",'Accounting data'!$K$2:$K$37000,"6*")-SUMIFS('Accounting data'!$G$2:$G$37000,'Accounting data'!$H$2:$H$37000,"1160*",'Accounting data'!$K$2:$K$37000,"69*")-SUMIFS('Accounting data'!$G$2:$G$37000,'Accounting data'!$H$2:$H$37000,"1160*",'Accounting data'!$K$2:$K$37000,"67*")</f>
        <v>0</v>
      </c>
      <c r="L8" s="252"/>
      <c r="M8" s="52">
        <v>0</v>
      </c>
      <c r="N8" s="552">
        <f t="shared" ref="N8:N21" si="0">SUM(IF(F8="",E8,F8)+G8-H8-I8-K8-M8)</f>
        <v>0</v>
      </c>
      <c r="O8" t="s">
        <v>28</v>
      </c>
      <c r="AB8" s="51"/>
      <c r="AC8" s="51" t="str">
        <f>IF(OR(I25="",J25="",M25=""),"yes","")</f>
        <v>yes</v>
      </c>
    </row>
    <row r="9" spans="1:29" x14ac:dyDescent="0.2">
      <c r="A9" t="s">
        <v>321</v>
      </c>
      <c r="D9" s="7" t="s">
        <v>31</v>
      </c>
      <c r="E9" s="550">
        <f>[2]!FP11701180EndBal</f>
        <v>0</v>
      </c>
      <c r="F9" s="54">
        <v>0</v>
      </c>
      <c r="G9" s="550">
        <f>-(SUMIFS('Accounting data'!$G$2:$G$37000,'Accounting data'!$H$2:$H$37000,"1170*",'Accounting data'!$K$2:$K$37000,"1*")+SUMIFS('Accounting data'!$G$2:$G$37000,'Accounting data'!$H$2:$H$37000,"1170*",'Accounting data'!$K$2:$K$37000,"2*")+SUMIFS('Accounting data'!$G$2:$G$37000,'Accounting data'!$H$2:$H$37000,"1170*",'Accounting data'!$K$2:$K$37000,"3*")+SUMIFS('Accounting data'!$G$2:$G$37000,'Accounting data'!$H$2:$H$37000,"1170*",'Accounting data'!$K$2:$K$37000,"4*")+SUMIFS('Accounting data'!$G$2:$G$37000,'Accounting data'!$H$2:$H$37000,"1170*",'Accounting data'!$K$2:$K$37000,"Other*"))</f>
        <v>0</v>
      </c>
      <c r="H9" s="552">
        <f>SUMIFS('Accounting data'!$G$2:$G$37000,'Accounting data'!$H$2:$H$37000,"1170*",'Accounting data'!$K$2:$K$37000,"69*")</f>
        <v>0</v>
      </c>
      <c r="I9" s="52">
        <v>0</v>
      </c>
      <c r="J9" s="550">
        <f>[1]!FP11701180TitleV</f>
        <v>0</v>
      </c>
      <c r="K9" s="552">
        <f>SUMIFS('Accounting data'!$G$2:$G$37000,'Accounting data'!$H$2:$H$37000,"1170*",'Accounting data'!$K$2:$K$37000,"6*")-SUMIFS('Accounting data'!$G$2:$G$37000,'Accounting data'!$H$2:$H$37000,"1170*",'Accounting data'!$K$2:$K$37000,"69*")-SUMIFS('Accounting data'!$G$2:$G$37000,'Accounting data'!$H$2:$H$37000,"1170*",'Accounting data'!$K$2:$K$37000,"67*")</f>
        <v>0</v>
      </c>
      <c r="L9" s="252"/>
      <c r="M9" s="52">
        <v>0</v>
      </c>
      <c r="N9" s="552">
        <f t="shared" si="0"/>
        <v>0</v>
      </c>
      <c r="O9" t="s">
        <v>31</v>
      </c>
      <c r="AB9" s="51"/>
      <c r="AC9" s="51" t="str">
        <f>IF(OR(I28="",I29="",I30="",I31="",I32="",I33="",I34="",I35="",I36="",I37="",I38="",I39=""),"yes","")</f>
        <v/>
      </c>
    </row>
    <row r="10" spans="1:29" x14ac:dyDescent="0.2">
      <c r="A10" t="s">
        <v>322</v>
      </c>
      <c r="D10" s="7" t="s">
        <v>33</v>
      </c>
      <c r="E10" s="550">
        <f>[2]!FP1190EndBal</f>
        <v>0</v>
      </c>
      <c r="F10" s="54">
        <v>0</v>
      </c>
      <c r="G10" s="550">
        <f>-(SUMIFS('Accounting data'!$G$2:$G$37000,'Accounting data'!$H$2:$H$37000,"1190*",'Accounting data'!$K$2:$K$37000,"1*")+SUMIFS('Accounting data'!$G$2:$G$37000,'Accounting data'!$H$2:$H$37000,"1190*",'Accounting data'!$K$2:$K$37000,"2*")+SUMIFS('Accounting data'!$G$2:$G$37000,'Accounting data'!$H$2:$H$37000,"1190*",'Accounting data'!$K$2:$K$37000,"3*")+SUMIFS('Accounting data'!$G$2:$G$37000,'Accounting data'!$H$2:$H$37000,"1190*",'Accounting data'!$K$2:$K$37000,"4*")+SUMIFS('Accounting data'!$G$2:$G$37000,'Accounting data'!$H$2:$H$37000,"1190*",'Accounting data'!$K$2:$K$37000,"Other*"))</f>
        <v>0</v>
      </c>
      <c r="H10" s="552">
        <f>SUMIFS('Accounting data'!$G$2:$G$37000,'Accounting data'!$H$2:$H$37000,"1190*",'Accounting data'!$K$2:$K$37000,"69*")</f>
        <v>0</v>
      </c>
      <c r="I10" s="52">
        <v>0</v>
      </c>
      <c r="J10" s="550">
        <f>[1]!FP1190TitleIII</f>
        <v>0</v>
      </c>
      <c r="K10" s="552">
        <f>SUMIFS('Accounting data'!$G$2:$G$37000,'Accounting data'!$H$2:$H$37000,"1190*",'Accounting data'!$K$2:$K$37000,"6*")-SUMIFS('Accounting data'!$G$2:$G$37000,'Accounting data'!$H$2:$H$37000,"1190*",'Accounting data'!$K$2:$K$37000,"69*")-SUMIFS('Accounting data'!$G$2:$G$37000,'Accounting data'!$H$2:$H$37000,"1190*",'Accounting data'!$K$2:$K$37000,"67*")</f>
        <v>0</v>
      </c>
      <c r="L10" s="252"/>
      <c r="M10" s="52">
        <v>0</v>
      </c>
      <c r="N10" s="552">
        <f t="shared" si="0"/>
        <v>0</v>
      </c>
      <c r="O10" t="s">
        <v>33</v>
      </c>
      <c r="AB10" s="51"/>
      <c r="AC10" s="51" t="str">
        <f>IF(OR(M28="",M29="",M30="",M31="",M32="",M33="",M34="",M35="",M36="",M37="",M38="",M39=""),"yes","")</f>
        <v/>
      </c>
    </row>
    <row r="11" spans="1:29" x14ac:dyDescent="0.2">
      <c r="A11" t="s">
        <v>323</v>
      </c>
      <c r="D11" s="7" t="s">
        <v>35</v>
      </c>
      <c r="E11" s="550">
        <f>[2]!FP1200EndBal</f>
        <v>0</v>
      </c>
      <c r="F11" s="54">
        <v>0</v>
      </c>
      <c r="G11" s="550">
        <f>-(SUMIFS('Accounting data'!$G$2:$G$37000,'Accounting data'!$H$2:$H$37000,"1200*",'Accounting data'!$K$2:$K$37000,"1*")+SUMIFS('Accounting data'!$G$2:$G$37000,'Accounting data'!$H$2:$H$37000,"1200*",'Accounting data'!$K$2:$K$37000,"2*")+SUMIFS('Accounting data'!$G$2:$G$37000,'Accounting data'!$H$2:$H$37000,"1200*",'Accounting data'!$K$2:$K$37000,"3*")+SUMIFS('Accounting data'!$G$2:$G$37000,'Accounting data'!$H$2:$H$37000,"1200*",'Accounting data'!$K$2:$K$37000,"4*")+SUMIFS('Accounting data'!$G$2:$G$37000,'Accounting data'!$H$2:$H$37000,"1200*",'Accounting data'!$K$2:$K$37000,"Other*"))</f>
        <v>0</v>
      </c>
      <c r="H11" s="552">
        <f>SUMIFS('Accounting data'!$G$2:$G$37000,'Accounting data'!$H$2:$H$37000,"1200*",'Accounting data'!$K$2:$K$37000,"69*")</f>
        <v>0</v>
      </c>
      <c r="I11" s="52">
        <v>0</v>
      </c>
      <c r="J11" s="550">
        <f>[1]!FP1200TitleVII</f>
        <v>0</v>
      </c>
      <c r="K11" s="552">
        <f>SUMIFS('Accounting data'!$G$2:$G$37000,'Accounting data'!$H$2:$H$37000,"1200*",'Accounting data'!$K$2:$K$37000,"6*")-SUMIFS('Accounting data'!$G$2:$G$37000,'Accounting data'!$H$2:$H$37000,"1200*",'Accounting data'!$K$2:$K$37000,"69*")-SUMIFS('Accounting data'!$G$2:$G$37000,'Accounting data'!$H$2:$H$37000,"1200*",'Accounting data'!$K$2:$K$37000,"67*")</f>
        <v>0</v>
      </c>
      <c r="L11" s="252"/>
      <c r="M11" s="52">
        <v>0</v>
      </c>
      <c r="N11" s="552">
        <f t="shared" si="0"/>
        <v>0</v>
      </c>
      <c r="O11" t="s">
        <v>35</v>
      </c>
      <c r="AB11" s="51"/>
      <c r="AC11" s="51" t="str">
        <f>IF(AND(AC6="",AC8="",AC9="",AC7="",AC10=""),"","yes")</f>
        <v>yes</v>
      </c>
    </row>
    <row r="12" spans="1:29" x14ac:dyDescent="0.2">
      <c r="A12" t="s">
        <v>324</v>
      </c>
      <c r="D12" s="7" t="s">
        <v>36</v>
      </c>
      <c r="E12" s="550">
        <f>[2]!FP1210EndBal</f>
        <v>0</v>
      </c>
      <c r="F12" s="54">
        <v>0</v>
      </c>
      <c r="G12" s="550">
        <f>-(SUMIFS('Accounting data'!$G$2:$G$37000,'Accounting data'!$H$2:$H$37000,"1210*",'Accounting data'!$K$2:$K$37000,"1*")+SUMIFS('Accounting data'!$G$2:$G$37000,'Accounting data'!$H$2:$H$37000,"1210*",'Accounting data'!$K$2:$K$37000,"2*")+SUMIFS('Accounting data'!$G$2:$G$37000,'Accounting data'!$H$2:$H$37000,"1210*",'Accounting data'!$K$2:$K$37000,"3*")+SUMIFS('Accounting data'!$G$2:$G$37000,'Accounting data'!$H$2:$H$37000,"1210*",'Accounting data'!$K$2:$K$37000,"4*")+SUMIFS('Accounting data'!$G$2:$G$37000,'Accounting data'!$H$2:$H$37000,"1210*",'Accounting data'!$K$2:$K$37000,"Other*"))</f>
        <v>0</v>
      </c>
      <c r="H12" s="552">
        <f>SUMIFS('Accounting data'!$G$2:$G$37000,'Accounting data'!$H$2:$H$37000,"1210*",'Accounting data'!$K$2:$K$37000,"69*")</f>
        <v>0</v>
      </c>
      <c r="I12" s="52">
        <v>0</v>
      </c>
      <c r="J12" s="550">
        <f>[1]!FP1210TitleVI</f>
        <v>0</v>
      </c>
      <c r="K12" s="552">
        <f>SUMIFS('Accounting data'!$G$2:$G$37000,'Accounting data'!$H$2:$H$37000,"1210*",'Accounting data'!$K$2:$K$37000,"6*")-SUMIFS('Accounting data'!$G$2:$G$37000,'Accounting data'!$H$2:$H$37000,"1210*",'Accounting data'!$K$2:$K$37000,"69*")-SUMIFS('Accounting data'!$G$2:$G$37000,'Accounting data'!$H$2:$H$37000,"1210*",'Accounting data'!$K$2:$K$37000,"67*")</f>
        <v>0</v>
      </c>
      <c r="L12" s="252"/>
      <c r="M12" s="52">
        <v>0</v>
      </c>
      <c r="N12" s="552">
        <f t="shared" si="0"/>
        <v>0</v>
      </c>
      <c r="O12" t="s">
        <v>36</v>
      </c>
      <c r="AB12" s="51"/>
      <c r="AC12" s="51"/>
    </row>
    <row r="13" spans="1:29" x14ac:dyDescent="0.2">
      <c r="A13" t="s">
        <v>325</v>
      </c>
      <c r="D13" s="7" t="s">
        <v>38</v>
      </c>
      <c r="E13" s="550">
        <f>[2]!FP1220EndBal</f>
        <v>0</v>
      </c>
      <c r="F13" s="54">
        <v>0</v>
      </c>
      <c r="G13" s="550">
        <f>-(SUMIFS('Accounting data'!$G$2:$G$37000,'Accounting data'!$H$2:$H$37000,"122*",'Accounting data'!$K$2:$K$37000,"1*")+SUMIFS('Accounting data'!$G$2:$G$37000,'Accounting data'!$H$2:$H$37000,"122*",'Accounting data'!$K$2:$K$37000,"2*")+SUMIFS('Accounting data'!$G$2:$G$37000,'Accounting data'!$H$2:$H$37000,"122*",'Accounting data'!$K$2:$K$37000,"3*")+SUMIFS('Accounting data'!$G$2:$G$37000,'Accounting data'!$H$2:$H$37000,"122*",'Accounting data'!$K$2:$K$37000,"4*")+SUMIFS('Accounting data'!$G$2:$G$37000,'Accounting data'!$H$2:$H$37000,"122*",'Accounting data'!$K$2:$K$37000,"Other*"))</f>
        <v>0</v>
      </c>
      <c r="H13" s="550">
        <f>SUMIFS('Accounting data'!$G$2:$G$37000,'Accounting data'!$H$2:$H$37000,"122*",'Accounting data'!$K$2:$K$37000,"69*")</f>
        <v>0</v>
      </c>
      <c r="I13" s="52">
        <v>0</v>
      </c>
      <c r="J13" s="550">
        <f>[1]!FP1220IDEA</f>
        <v>0</v>
      </c>
      <c r="K13" s="552">
        <f>SUMIFS('Accounting data'!$G$2:$G$37000,'Accounting data'!$H$2:$H$37000,"122*",'Accounting data'!$K$2:$K$37000,"6*")-SUMIFS('Accounting data'!$G$2:$G$37000,'Accounting data'!$H$2:$H$37000,"122*",'Accounting data'!$K$2:$K$37000,"69*")-SUMIFS('Accounting data'!$G$2:$G$37000,'Accounting data'!$H$2:$H$37000,"122*",'Accounting data'!$K$2:$K$37000,"67*")</f>
        <v>0</v>
      </c>
      <c r="L13" s="252"/>
      <c r="M13" s="52">
        <v>0</v>
      </c>
      <c r="N13" s="552">
        <f t="shared" si="0"/>
        <v>0</v>
      </c>
      <c r="O13" t="s">
        <v>38</v>
      </c>
      <c r="AB13" s="51"/>
      <c r="AC13" s="51"/>
    </row>
    <row r="14" spans="1:29" x14ac:dyDescent="0.2">
      <c r="A14" t="s">
        <v>326</v>
      </c>
      <c r="D14" s="7" t="s">
        <v>40</v>
      </c>
      <c r="E14" s="550">
        <f>[2]!FP1230EndBal</f>
        <v>0</v>
      </c>
      <c r="F14" s="54">
        <v>0</v>
      </c>
      <c r="G14" s="550">
        <f>-(SUMIFS('Accounting data'!$G$2:$G$37000,'Accounting data'!$H$2:$H$37000,"1230*",'Accounting data'!$K$2:$K$37000,"1*")+SUMIFS('Accounting data'!$G$2:$G$37000,'Accounting data'!$H$2:$H$37000,"1230*",'Accounting data'!$K$2:$K$37000,"2*")+SUMIFS('Accounting data'!$G$2:$G$37000,'Accounting data'!$H$2:$H$37000,"1230*",'Accounting data'!$K$2:$K$37000,"3*")+SUMIFS('Accounting data'!$G$2:$G$37000,'Accounting data'!$H$2:$H$37000,"1230*",'Accounting data'!$K$2:$K$37000,"4*")+SUMIFS('Accounting data'!$G$2:$G$37000,'Accounting data'!$H$2:$H$37000,"1230*",'Accounting data'!$K$2:$K$37000,"Other*"))</f>
        <v>0</v>
      </c>
      <c r="H14" s="552">
        <f>SUMIFS('Accounting data'!$G$2:$G$37000,'Accounting data'!$H$2:$H$37000,"1230*",'Accounting data'!$K$2:$K$37000,"69*")</f>
        <v>0</v>
      </c>
      <c r="I14" s="52">
        <v>0</v>
      </c>
      <c r="J14" s="550">
        <f>[1]!FP1230Johnson</f>
        <v>0</v>
      </c>
      <c r="K14" s="552">
        <f>SUMIFS('Accounting data'!$G$2:$G$37000,'Accounting data'!$H$2:$H$37000,"1230*",'Accounting data'!$K$2:$K$37000,"6*")-SUMIFS('Accounting data'!$G$2:$G$37000,'Accounting data'!$H$2:$H$37000,"1230*",'Accounting data'!$K$2:$K$37000,"69*")-SUMIFS('Accounting data'!$G$2:$G$37000,'Accounting data'!$H$2:$H$37000,"1230*",'Accounting data'!$K$2:$K$37000,"67*")</f>
        <v>0</v>
      </c>
      <c r="L14" s="252"/>
      <c r="M14" s="52">
        <v>0</v>
      </c>
      <c r="N14" s="552">
        <f t="shared" si="0"/>
        <v>0</v>
      </c>
      <c r="O14" t="s">
        <v>40</v>
      </c>
      <c r="AB14" s="51"/>
      <c r="AC14" s="51"/>
    </row>
    <row r="15" spans="1:29" x14ac:dyDescent="0.2">
      <c r="A15" t="s">
        <v>327</v>
      </c>
      <c r="D15" s="7" t="s">
        <v>42</v>
      </c>
      <c r="E15" s="550">
        <f>[2]!FP1240EndBal</f>
        <v>0</v>
      </c>
      <c r="F15" s="54">
        <v>0</v>
      </c>
      <c r="G15" s="550">
        <f>-(SUMIFS('Accounting data'!$G$2:$G$37000,'Accounting data'!$H$2:$H$37000,"1240*",'Accounting data'!$K$2:$K$37000,"1*")+SUMIFS('Accounting data'!$G$2:$G$37000,'Accounting data'!$H$2:$H$37000,"1240*",'Accounting data'!$K$2:$K$37000,"2*")+SUMIFS('Accounting data'!$G$2:$G$37000,'Accounting data'!$H$2:$H$37000,"1240*",'Accounting data'!$K$2:$K$37000,"3*")+SUMIFS('Accounting data'!$G$2:$G$37000,'Accounting data'!$H$2:$H$37000,"1240*",'Accounting data'!$K$2:$K$37000,"4*")+SUMIFS('Accounting data'!$G$2:$G$37000,'Accounting data'!$H$2:$H$37000,"1240*",'Accounting data'!$K$2:$K$37000,"Other*"))</f>
        <v>0</v>
      </c>
      <c r="H15" s="552">
        <f>SUMIFS('Accounting data'!$G$2:$G$37000,'Accounting data'!$H$2:$H$37000,"1240*",'Accounting data'!$K$2:$K$37000,"69*")</f>
        <v>0</v>
      </c>
      <c r="I15" s="52">
        <v>0</v>
      </c>
      <c r="J15" s="550">
        <f>[1]!FP1240WIA</f>
        <v>0</v>
      </c>
      <c r="K15" s="552">
        <f>SUMIFS('Accounting data'!$G$2:$G$37000,'Accounting data'!$H$2:$H$37000,"1240*",'Accounting data'!$K$2:$K$37000,"6*")-SUMIFS('Accounting data'!$G$2:$G$37000,'Accounting data'!$H$2:$H$37000,"1240*",'Accounting data'!$K$2:$K$37000,"69*")-SUMIFS('Accounting data'!$G$2:$G$37000,'Accounting data'!$H$2:$H$37000,"1240*",'Accounting data'!$K$2:$K$37000,"67*")</f>
        <v>0</v>
      </c>
      <c r="L15" s="252"/>
      <c r="M15" s="52">
        <v>0</v>
      </c>
      <c r="N15" s="552">
        <f t="shared" si="0"/>
        <v>0</v>
      </c>
      <c r="O15" t="s">
        <v>42</v>
      </c>
      <c r="AB15" s="51"/>
      <c r="AC15" s="51"/>
    </row>
    <row r="16" spans="1:29" x14ac:dyDescent="0.2">
      <c r="A16" t="s">
        <v>328</v>
      </c>
      <c r="D16" s="7" t="s">
        <v>44</v>
      </c>
      <c r="E16" s="550">
        <f>[2]!FP1250EndBal</f>
        <v>0</v>
      </c>
      <c r="F16" s="54">
        <v>0</v>
      </c>
      <c r="G16" s="550">
        <f>-(SUMIFS('Accounting data'!$G$2:$G$37000,'Accounting data'!$H$2:$H$37000,"1250*",'Accounting data'!$K$2:$K$37000,"1*")+SUMIFS('Accounting data'!$G$2:$G$37000,'Accounting data'!$H$2:$H$37000,"1250*",'Accounting data'!$K$2:$K$37000,"2*")+SUMIFS('Accounting data'!$G$2:$G$37000,'Accounting data'!$H$2:$H$37000,"1250*",'Accounting data'!$K$2:$K$37000,"3*")+SUMIFS('Accounting data'!$G$2:$G$37000,'Accounting data'!$H$2:$H$37000,"1250*",'Accounting data'!$K$2:$K$37000,"4*")+SUMIFS('Accounting data'!$G$2:$G$37000,'Accounting data'!$H$2:$H$37000,"1250*",'Accounting data'!$K$2:$K$37000,"Other*"))</f>
        <v>0</v>
      </c>
      <c r="H16" s="552">
        <f>SUMIFS('Accounting data'!$G$2:$G$37000,'Accounting data'!$H$2:$H$37000,"1250*",'Accounting data'!$K$2:$K$37000,"69*")</f>
        <v>0</v>
      </c>
      <c r="I16" s="52">
        <v>0</v>
      </c>
      <c r="J16" s="550">
        <f>[1]!FP1250AEA</f>
        <v>0</v>
      </c>
      <c r="K16" s="552">
        <f>SUMIFS('Accounting data'!$G$2:$G$37000,'Accounting data'!$H$2:$H$37000,"1250*",'Accounting data'!$K$2:$K$37000,"6*")-SUMIFS('Accounting data'!$G$2:$G$37000,'Accounting data'!$H$2:$H$37000,"1250*",'Accounting data'!$K$2:$K$37000,"69*")-SUMIFS('Accounting data'!$G$2:$G$37000,'Accounting data'!$H$2:$H$37000,"1250*",'Accounting data'!$K$2:$K$37000,"67*")</f>
        <v>0</v>
      </c>
      <c r="L16" s="252"/>
      <c r="M16" s="52">
        <v>0</v>
      </c>
      <c r="N16" s="552">
        <f t="shared" si="0"/>
        <v>0</v>
      </c>
      <c r="O16" t="s">
        <v>44</v>
      </c>
      <c r="AB16" s="51"/>
      <c r="AC16" s="51"/>
    </row>
    <row r="17" spans="1:26" x14ac:dyDescent="0.2">
      <c r="A17" t="s">
        <v>329</v>
      </c>
      <c r="D17" s="7" t="s">
        <v>45</v>
      </c>
      <c r="E17" s="550">
        <f>[2]!FP1260EndBal</f>
        <v>0</v>
      </c>
      <c r="F17" s="54">
        <v>0</v>
      </c>
      <c r="G17" s="550">
        <f>-(SUMIFS('Accounting data'!$G$2:$G$37000,'Accounting data'!$H$2:$H$37000,"1260*",'Accounting data'!$K$2:$K$37000,"1*")+SUMIFS('Accounting data'!$G$2:$G$37000,'Accounting data'!$H$2:$H$37000,"1260*",'Accounting data'!$K$2:$K$37000,"2*")+SUMIFS('Accounting data'!$G$2:$G$37000,'Accounting data'!$H$2:$H$37000,"1260*",'Accounting data'!$K$2:$K$37000,"3*")+SUMIFS('Accounting data'!$G$2:$G$37000,'Accounting data'!$H$2:$H$37000,"1260*",'Accounting data'!$K$2:$K$37000,"4*")+SUMIFS('Accounting data'!$G$2:$G$37000,'Accounting data'!$H$2:$H$37000,"1260*",'Accounting data'!$K$2:$K$37000,"Other*"))</f>
        <v>0</v>
      </c>
      <c r="H17" s="552">
        <f>SUMIFS('Accounting data'!$G$2:$G$37000,'Accounting data'!$H$2:$H$37000,"1260*",'Accounting data'!$K$2:$K$37000,"69*")</f>
        <v>0</v>
      </c>
      <c r="I17" s="52">
        <v>0</v>
      </c>
      <c r="J17" s="550">
        <f>[1]!FP12601270VocEd</f>
        <v>0</v>
      </c>
      <c r="K17" s="552">
        <f>SUMIFS('Accounting data'!$G$2:$G$37000,'Accounting data'!$H$2:$H$37000,"1260*",'Accounting data'!$K$2:$K$37000,"6*")-SUMIFS('Accounting data'!$G$2:$G$37000,'Accounting data'!$H$2:$H$37000,"1260*",'Accounting data'!$K$2:$K$37000,"69*")-SUMIFS('Accounting data'!$G$2:$G$37000,'Accounting data'!$H$2:$H$37000,"1260*",'Accounting data'!$K$2:$K$37000,"67*")</f>
        <v>0</v>
      </c>
      <c r="L17" s="252"/>
      <c r="M17" s="52">
        <v>0</v>
      </c>
      <c r="N17" s="552">
        <f t="shared" si="0"/>
        <v>0</v>
      </c>
      <c r="O17" t="s">
        <v>45</v>
      </c>
    </row>
    <row r="18" spans="1:26" x14ac:dyDescent="0.2">
      <c r="A18" t="s">
        <v>330</v>
      </c>
      <c r="D18" s="7" t="s">
        <v>47</v>
      </c>
      <c r="E18" s="550">
        <f>[2]!FP1280EndBal</f>
        <v>0</v>
      </c>
      <c r="F18" s="54">
        <v>0</v>
      </c>
      <c r="G18" s="550">
        <f>-(SUMIFS('Accounting data'!$G$2:$G$37000,'Accounting data'!$H$2:$H$37000,"1280*",'Accounting data'!$K$2:$K$37000,"1*")+SUMIFS('Accounting data'!$G$2:$G$37000,'Accounting data'!$H$2:$H$37000,"1280*",'Accounting data'!$K$2:$K$37000,"2*")+SUMIFS('Accounting data'!$G$2:$G$37000,'Accounting data'!$H$2:$H$37000,"1280*",'Accounting data'!$K$2:$K$37000,"3*")+SUMIFS('Accounting data'!$G$2:$G$37000,'Accounting data'!$H$2:$H$37000,"1280*",'Accounting data'!$K$2:$K$37000,"4*")+SUMIFS('Accounting data'!$G$2:$G$37000,'Accounting data'!$H$2:$H$37000,"1280*",'Accounting data'!$K$2:$K$37000,"Other*"))</f>
        <v>0</v>
      </c>
      <c r="H18" s="552">
        <f>SUMIFS('Accounting data'!$G$2:$G$37000,'Accounting data'!$H$2:$H$37000,"1280*",'Accounting data'!$K$2:$K$37000,"69*")</f>
        <v>0</v>
      </c>
      <c r="I18" s="52">
        <v>0</v>
      </c>
      <c r="J18" s="550">
        <f>[1]!FP1280TitleX</f>
        <v>0</v>
      </c>
      <c r="K18" s="552">
        <f>SUMIFS('Accounting data'!$G$2:$G$37000,'Accounting data'!$H$2:$H$37000,"1280*",'Accounting data'!$K$2:$K$37000,"6*")-SUMIFS('Accounting data'!$G$2:$G$37000,'Accounting data'!$H$2:$H$37000,"1280*",'Accounting data'!$K$2:$K$37000,"69*")-SUMIFS('Accounting data'!$G$2:$G$37000,'Accounting data'!$H$2:$H$37000,"1280*",'Accounting data'!$K$2:$K$37000,"67*")</f>
        <v>0</v>
      </c>
      <c r="L18" s="252"/>
      <c r="M18" s="52">
        <v>0</v>
      </c>
      <c r="N18" s="552">
        <f t="shared" si="0"/>
        <v>0</v>
      </c>
      <c r="O18" t="s">
        <v>47</v>
      </c>
      <c r="P18" s="548"/>
    </row>
    <row r="19" spans="1:26" x14ac:dyDescent="0.2">
      <c r="A19" t="s">
        <v>331</v>
      </c>
      <c r="D19" s="7" t="s">
        <v>49</v>
      </c>
      <c r="E19" s="550">
        <f>[2]!FP1290EndBal</f>
        <v>0</v>
      </c>
      <c r="F19" s="54">
        <v>0</v>
      </c>
      <c r="G19" s="550">
        <f>-(SUMIFS('Accounting data'!$G$2:$G$37000,'Accounting data'!$H$2:$H$37000,"1290*",'Accounting data'!$K$2:$K$37000,"1*")+SUMIFS('Accounting data'!$G$2:$G$37000,'Accounting data'!$H$2:$H$37000,"1290*",'Accounting data'!$K$2:$K$37000,"2*")+SUMIFS('Accounting data'!$G$2:$G$37000,'Accounting data'!$H$2:$H$37000,"1290*",'Accounting data'!$K$2:$K$37000,"3*")+SUMIFS('Accounting data'!$G$2:$G$37000,'Accounting data'!$H$2:$H$37000,"1290*",'Accounting data'!$K$2:$K$37000,"4*")+SUMIFS('Accounting data'!$G$2:$G$37000,'Accounting data'!$H$2:$H$37000,"1290*",'Accounting data'!$K$2:$K$37000,"Other*"))</f>
        <v>0</v>
      </c>
      <c r="H19" s="552">
        <f>SUMIFS('Accounting data'!$G$2:$G$37000,'Accounting data'!$H$2:$H$37000,"1290*",'Accounting data'!$K$2:$K$37000,"69*")</f>
        <v>0</v>
      </c>
      <c r="I19" s="52">
        <v>0</v>
      </c>
      <c r="J19" s="550">
        <f>[1]!FP1290Medicaid</f>
        <v>0</v>
      </c>
      <c r="K19" s="552">
        <f>SUMIFS('Accounting data'!$G$2:$G$37000,'Accounting data'!$H$2:$H$37000,"1290*",'Accounting data'!$K$2:$K$37000,"6*")-SUMIFS('Accounting data'!$G$2:$G$37000,'Accounting data'!$H$2:$H$37000,"1290*",'Accounting data'!$K$2:$K$37000,"69*")-SUMIFS('Accounting data'!$G$2:$G$37000,'Accounting data'!$H$2:$H$37000,"1290*",'Accounting data'!$K$2:$K$37000,"67*")</f>
        <v>0</v>
      </c>
      <c r="L19" s="252"/>
      <c r="M19" s="52">
        <v>0</v>
      </c>
      <c r="N19" s="552">
        <f t="shared" si="0"/>
        <v>0</v>
      </c>
      <c r="O19" t="s">
        <v>49</v>
      </c>
      <c r="P19" s="117"/>
      <c r="Q19" s="117"/>
      <c r="S19" s="29"/>
    </row>
    <row r="20" spans="1:26" x14ac:dyDescent="0.2">
      <c r="A20" t="s">
        <v>332</v>
      </c>
      <c r="D20" s="66" t="s">
        <v>51</v>
      </c>
      <c r="E20" s="550">
        <f>[2]!FP1300EndBal</f>
        <v>0</v>
      </c>
      <c r="F20" s="54">
        <v>0</v>
      </c>
      <c r="G20" s="550">
        <f>-(SUMIFS('Accounting data'!$G$2:$G$37000,'Accounting data'!$H$2:$H$37000,"1300*",'Accounting data'!$K$2:$K$37000,"1*")+SUMIFS('Accounting data'!$G$2:$G$37000,'Accounting data'!$H$2:$H$37000,"1300*",'Accounting data'!$K$2:$K$37000,"2*")+SUMIFS('Accounting data'!$G$2:$G$37000,'Accounting data'!$H$2:$H$37000,"1300*",'Accounting data'!$K$2:$K$37000,"3*")+SUMIFS('Accounting data'!$G$2:$G$37000,'Accounting data'!$H$2:$H$37000,"1300*",'Accounting data'!$K$2:$K$37000,"4*")+SUMIFS('Accounting data'!$G$2:$G$37000,'Accounting data'!$H$2:$H$37000,"1300*",'Accounting data'!$K$2:$K$37000,"Other*"))</f>
        <v>0</v>
      </c>
      <c r="H20" s="552">
        <f>SUMIFS('Accounting data'!$G$2:$G$37000,'Accounting data'!$H$2:$H$37000,"1300*",'Accounting data'!$K$2:$K$37000,"69*")</f>
        <v>0</v>
      </c>
      <c r="I20" s="52">
        <v>0</v>
      </c>
      <c r="J20" s="550">
        <f>[1]!FP1300Charter</f>
        <v>0</v>
      </c>
      <c r="K20" s="552">
        <f>SUMIFS('Accounting data'!$G$2:$G$37000,'Accounting data'!$H$2:$H$37000,"1300*",'Accounting data'!$K$2:$K$37000,"6*")-SUMIFS('Accounting data'!$G$2:$G$37000,'Accounting data'!$H$2:$H$37000,"1300*",'Accounting data'!$K$2:$K$37000,"69*")-SUMIFS('Accounting data'!$G$2:$G$37000,'Accounting data'!$H$2:$H$37000,"1300*",'Accounting data'!$K$2:$K$37000,"67*")</f>
        <v>0</v>
      </c>
      <c r="L20" s="252"/>
      <c r="M20" s="52">
        <v>0</v>
      </c>
      <c r="N20" s="552">
        <f t="shared" si="0"/>
        <v>0</v>
      </c>
      <c r="O20" s="244" t="s">
        <v>51</v>
      </c>
      <c r="P20" s="117"/>
      <c r="Q20" s="117"/>
      <c r="S20" s="29"/>
    </row>
    <row r="21" spans="1:26" x14ac:dyDescent="0.2">
      <c r="A21" s="212" t="s">
        <v>333</v>
      </c>
      <c r="B21" s="212"/>
      <c r="C21" s="212"/>
      <c r="D21" s="70" t="s">
        <v>53</v>
      </c>
      <c r="E21" s="550">
        <f>[2]!FP13XXImpactAidEndBal</f>
        <v>0</v>
      </c>
      <c r="F21" s="54">
        <v>0</v>
      </c>
      <c r="G21" s="550">
        <f>-(SUMIFS('Accounting data'!$G$2:$G$37000,'Accounting data'!$H$2:$H$37000,"13XX*",'Accounting data'!$K$2:$K$37000,"1*")+SUMIFS('Accounting data'!$G$2:$G$37000,'Accounting data'!$H$2:$H$37000,"13XX*",'Accounting data'!$K$2:$K$37000,"2*")+SUMIFS('Accounting data'!$G$2:$G$37000,'Accounting data'!$H$2:$H$37000,"13XX*",'Accounting data'!$K$2:$K$37000,"3*")+SUMIFS('Accounting data'!$G$2:$G$37000,'Accounting data'!$H$2:$H$37000,"13XX*",'Accounting data'!$K$2:$K$37000,"4*")+SUMIFS('Accounting data'!$G$2:$G$37000,'Accounting data'!$H$2:$H$37000,"13XX*",'Accounting data'!$K$2:$K$37000,"Other*"))</f>
        <v>0</v>
      </c>
      <c r="H21" s="552">
        <f>SUMIFS('Accounting data'!$G$2:$G$37000,'Accounting data'!$H$2:$H$37000,"13XX*",'Accounting data'!$K$2:$K$37000,"69*")</f>
        <v>0</v>
      </c>
      <c r="I21" s="52">
        <v>0</v>
      </c>
      <c r="J21" s="550">
        <f>[1]!FP13__ImpactAid</f>
        <v>0</v>
      </c>
      <c r="K21" s="552">
        <f>SUMIFS('Accounting data'!$G$2:$G$37000,'Accounting data'!$H$2:$H$37000,"13XX*",'Accounting data'!$K$2:$K$37000,"6*")-SUMIFS('Accounting data'!$G$2:$G$37000,'Accounting data'!$H$2:$H$37000,"13XX*",'Accounting data'!$K$2:$K$37000,"69*")-SUMIFS('Accounting data'!$G$2:$G$37000,'Accounting data'!$H$2:$H$37000,"13XX*",'Accounting data'!$K$2:$K$37000,"67*")</f>
        <v>0</v>
      </c>
      <c r="L21" s="252"/>
      <c r="M21" s="52">
        <v>0</v>
      </c>
      <c r="N21" s="552">
        <f t="shared" si="0"/>
        <v>0</v>
      </c>
      <c r="O21" s="244" t="s">
        <v>53</v>
      </c>
      <c r="P21" s="117"/>
      <c r="Q21" s="117"/>
      <c r="S21" s="29"/>
    </row>
    <row r="22" spans="1:26" ht="13.5" thickBot="1" x14ac:dyDescent="0.25">
      <c r="A22" s="212" t="s">
        <v>334</v>
      </c>
      <c r="B22" s="212"/>
      <c r="C22" s="212"/>
      <c r="D22" s="66" t="s">
        <v>55</v>
      </c>
      <c r="E22" s="219">
        <f>[2]!FP13101399EndBal</f>
        <v>0</v>
      </c>
      <c r="F22" s="54">
        <v>0</v>
      </c>
      <c r="G22" s="219">
        <f>-(SUMIFS('Accounting data'!$G$2:$G$37000,'Accounting data'!$H$2:$H$37000,"1310*",'Accounting data'!$K$2:$K$37000,"1*")+SUMIFS('Accounting data'!$G$2:$G$37000,'Accounting data'!$H$2:$H$37000,"1310*",'Accounting data'!$K$2:$K$37000,"2*")+SUMIFS('Accounting data'!$G$2:$G$37000,'Accounting data'!$H$2:$H$37000,"1310*",'Accounting data'!$K$2:$K$37000,"3*")+SUMIFS('Accounting data'!$G$2:$G$37000,'Accounting data'!$H$2:$H$37000,"1310*",'Accounting data'!$K$2:$K$37000,"4*")+SUMIFS('Accounting data'!$G$2:$G$37000,'Accounting data'!$H$2:$H$37000,"1310*",'Accounting data'!$K$2:$K$37000,"Other*"))</f>
        <v>38025</v>
      </c>
      <c r="H22" s="225">
        <f>SUMIFS('Accounting data'!$G$2:$G$37000,'Accounting data'!$H$2:$H$37000,"1310*",'Accounting data'!$K$2:$K$37000,"69*")</f>
        <v>0</v>
      </c>
      <c r="I22" s="52">
        <v>0</v>
      </c>
      <c r="J22" s="219">
        <f>[1]!FP13101399Other</f>
        <v>38025</v>
      </c>
      <c r="K22" s="225">
        <f>SUMIFS('Accounting data'!$G$2:$G$37000,'Accounting data'!$H$2:$H$37000,"1310*",'Accounting data'!$K$2:$K$37000,"6*")-SUMIFS('Accounting data'!$G$2:$G$37000,'Accounting data'!$H$2:$H$37000,"1310*",'Accounting data'!$K$2:$K$37000,"69*")-SUMIFS('Accounting data'!$G$2:$G$37000,'Accounting data'!$H$2:$H$37000,"1310*",'Accounting data'!$K$2:$K$37000,"67*")</f>
        <v>38025</v>
      </c>
      <c r="L22" s="56">
        <v>0</v>
      </c>
      <c r="M22" s="52">
        <v>0</v>
      </c>
      <c r="N22" s="552">
        <f>SUM(IF(F22="",E22,F22)+G22-H22-I22-K22-M22-L22)</f>
        <v>0</v>
      </c>
      <c r="O22" s="244" t="s">
        <v>55</v>
      </c>
      <c r="P22" s="117"/>
      <c r="Q22" s="117"/>
      <c r="S22" s="29"/>
    </row>
    <row r="23" spans="1:26" ht="13.5" thickBot="1" x14ac:dyDescent="0.25">
      <c r="A23" t="s">
        <v>335</v>
      </c>
      <c r="D23" s="66" t="s">
        <v>57</v>
      </c>
      <c r="E23" s="220">
        <f t="shared" ref="E23:M23" si="1">SUM(E6:E22)</f>
        <v>0</v>
      </c>
      <c r="F23" s="220" cm="1">
        <f t="array" ref="F23">SUM(IF(F6:F22="",E6:E22,F6:F22))</f>
        <v>0</v>
      </c>
      <c r="G23" s="220">
        <f t="shared" si="1"/>
        <v>38025</v>
      </c>
      <c r="H23" s="220">
        <f t="shared" si="1"/>
        <v>0</v>
      </c>
      <c r="I23" s="220">
        <f>SUM(I6:I22)</f>
        <v>0</v>
      </c>
      <c r="J23" s="220">
        <f>SUM(J6:J22)</f>
        <v>38025</v>
      </c>
      <c r="K23" s="220">
        <f t="shared" si="1"/>
        <v>38025</v>
      </c>
      <c r="L23" s="220">
        <f>SUM(L6:L22)</f>
        <v>0</v>
      </c>
      <c r="M23" s="220">
        <f t="shared" si="1"/>
        <v>0</v>
      </c>
      <c r="N23" s="552">
        <f>SUM(IF(F23="",E23,F23)+G23-H23-I23-K23-M23)</f>
        <v>0</v>
      </c>
      <c r="O23" s="244" t="s">
        <v>57</v>
      </c>
    </row>
    <row r="24" spans="1:26" ht="13.5" thickTop="1" x14ac:dyDescent="0.2">
      <c r="D24" s="66"/>
      <c r="E24" s="29"/>
      <c r="F24" s="29"/>
      <c r="G24" s="29"/>
      <c r="H24" s="29"/>
      <c r="I24" s="29"/>
      <c r="J24" s="29"/>
      <c r="K24" s="29"/>
      <c r="L24" s="29"/>
      <c r="M24" s="29"/>
      <c r="N24" s="29"/>
      <c r="O24" s="244"/>
    </row>
    <row r="25" spans="1:26" x14ac:dyDescent="0.2">
      <c r="A25" s="212" t="s">
        <v>336</v>
      </c>
      <c r="B25" s="212"/>
      <c r="C25" s="212"/>
      <c r="D25" s="66" t="s">
        <v>59</v>
      </c>
      <c r="E25" s="550">
        <f>'[2]Page 8'!$N$25</f>
        <v>0</v>
      </c>
      <c r="F25" s="54">
        <v>0</v>
      </c>
      <c r="G25" s="552">
        <f>Q25+Z25</f>
        <v>38025</v>
      </c>
      <c r="H25" s="550">
        <f t="array" ref="H25">SUM(SUMIFS('Accounting data'!$G$2:$G$37000,'Accounting data'!$H$2:$H$37000,{"1310-1399-COVID-19*","1227*","1228*"},'Accounting data'!$K$2:$K$37000,"69*"))</f>
        <v>0</v>
      </c>
      <c r="I25" s="54">
        <v>0</v>
      </c>
      <c r="J25" s="104"/>
      <c r="K25" s="552">
        <f t="array" ref="K25">SUM(SUMIFS('Accounting data'!$G$2:$G$37000,'Accounting data'!$H$2:$H$37000,{"1310-1399-COVID-19*","1227*","1228*"},'Accounting data'!$K$2:$K$37000,"6*"))-SUM(SUMIFS('Accounting data'!$G$2:$G$37000,'Accounting data'!$H$2:$H$37000,{"1310-1399-COVID-19*","1227*","1228*"},'Accounting data'!$K$2:$K$37000,"69*"))-SUM(SUMIFS('Accounting data'!$G$2:$G$37000,'Accounting data'!$H$2:$H$37000,{"1310-1399-COVID-19*","1227*","1228*"},'Accounting data'!$K$2:$K$37000,"67*"))</f>
        <v>38025</v>
      </c>
      <c r="L25" s="52">
        <v>0</v>
      </c>
      <c r="M25" s="54">
        <v>0</v>
      </c>
      <c r="N25" s="552">
        <f>SUM(IF(F25="",E25,F25)+G25-H25-I25-K25-M25-L25)</f>
        <v>0</v>
      </c>
      <c r="O25" s="66" t="s">
        <v>59</v>
      </c>
      <c r="Q25" s="51">
        <f t="array" ref="Q25">-(SUMIFS('Accounting data'!$G$2:$G$37000,'Accounting data'!$H$2:$H$37000,"1310-1399-COVID-19*",'Accounting data'!$K$2:$K$37000,"1*")+SUMIFS('Accounting data'!$G$2:$G$37000,'Accounting data'!$H$2:$H$37000,"1310-1399-COVID-19*",'Accounting data'!$K$2:$K$37000,"2*")+SUMIFS('Accounting data'!$G$2:$G$37000,'Accounting data'!$H$2:$H$37000,"1310-1399-COVID-19*",'Accounting data'!$K$2:$K$37000,"3*")+SUMIFS('Accounting data'!$G$2:$G$37000,'Accounting data'!$H$2:$H$37000,"1310-1399-COVID-19*",'Accounting data'!$K$2:$K$37000,"4*")+SUMIFS('Accounting data'!$G$2:$G$37000,'Accounting data'!$H$2:$H$37000,"1310-1399-COVID-19*",'Accounting data'!$K$2:$K$37000,"Other*")+SUM(SUMIFS('Accounting data'!$G$2:$G$37000,'Accounting data'!$H$2:$H$37000,"1227*",'Accounting data'!$K$2:$K$37000,{"1*","2*","3*","4*","Other*"})))</f>
        <v>38024.81</v>
      </c>
      <c r="R25" s="51"/>
      <c r="S25" s="51"/>
      <c r="T25" s="51"/>
      <c r="U25" s="51"/>
      <c r="V25" s="51"/>
      <c r="W25" s="51"/>
      <c r="X25" s="51"/>
      <c r="Y25" s="51"/>
      <c r="Z25" s="51">
        <f t="array" ref="Z25">-SUM(SUMIFS('Accounting data'!$G$2:$G$37000,'Accounting data'!$H$2:$H$37000,"1228*",'Accounting data'!$K$2:$K$37000,{"1*","2*","3*","4*","Other*"}))</f>
        <v>0</v>
      </c>
    </row>
    <row r="26" spans="1:26" x14ac:dyDescent="0.2">
      <c r="D26" s="66"/>
      <c r="E26" s="29"/>
      <c r="F26" s="29"/>
      <c r="G26" s="29"/>
      <c r="H26" s="29"/>
      <c r="I26" s="29"/>
      <c r="J26" s="29"/>
      <c r="K26" s="29"/>
      <c r="L26" s="29"/>
      <c r="M26" s="29"/>
      <c r="N26" s="29"/>
      <c r="O26" s="244"/>
    </row>
    <row r="27" spans="1:26" x14ac:dyDescent="0.2">
      <c r="A27" s="549" t="s">
        <v>337</v>
      </c>
      <c r="E27" s="215"/>
      <c r="F27" s="215"/>
      <c r="G27" s="215"/>
      <c r="H27" s="215"/>
      <c r="I27" s="215"/>
      <c r="J27" s="215"/>
      <c r="K27" s="215"/>
      <c r="L27" s="215"/>
      <c r="M27" s="215"/>
      <c r="N27" s="215"/>
    </row>
    <row r="28" spans="1:26" x14ac:dyDescent="0.2">
      <c r="A28" t="s">
        <v>338</v>
      </c>
      <c r="D28" s="66" t="s">
        <v>61</v>
      </c>
      <c r="E28" s="550">
        <f>[2]!StP1400EndBal</f>
        <v>0</v>
      </c>
      <c r="F28" s="54">
        <v>0</v>
      </c>
      <c r="G28" s="550">
        <f>-(SUMIFS('Accounting data'!$G$2:$G$37000,'Accounting data'!$H$2:$H$37000,"1400*",'Accounting data'!$K$2:$K$37000,"1*")+SUMIFS('Accounting data'!$G$2:$G$37000,'Accounting data'!$H$2:$H$37000,"1400*",'Accounting data'!$K$2:$K$37000,"2*")+SUMIFS('Accounting data'!$G$2:$G$37000,'Accounting data'!$H$2:$H$37000,"1400*",'Accounting data'!$K$2:$K$37000,"3*")+SUMIFS('Accounting data'!$G$2:$G$37000,'Accounting data'!$H$2:$H$37000,"1400*",'Accounting data'!$K$2:$K$37000,"4*")+SUMIFS('Accounting data'!$G$2:$G$37000,'Accounting data'!$H$2:$H$37000,"1400*",'Accounting data'!$K$2:$K$37000,"Other*"))</f>
        <v>0</v>
      </c>
      <c r="H28" s="102"/>
      <c r="I28" s="52">
        <v>0</v>
      </c>
      <c r="J28" s="550">
        <f>[1]!SP1400VocEd</f>
        <v>0</v>
      </c>
      <c r="K28" s="552">
        <f>SUMIFS('Accounting data'!$G$2:$G$37000,'Accounting data'!$H$2:$H$37000,"1400*",'Accounting data'!$K$2:$K$37000,"6*")-SUMIFS('Accounting data'!$G$2:$G$37000,'Accounting data'!$H$2:$H$37000,"1400*",'Accounting data'!$K$2:$K$37000,"69*")-SUMIFS('Accounting data'!$G$2:$G$37000,'Accounting data'!$H$2:$H$37000,"1400*",'Accounting data'!$K$2:$K$37000,"67*")</f>
        <v>0</v>
      </c>
      <c r="L28" s="52">
        <v>0</v>
      </c>
      <c r="M28" s="52">
        <v>0</v>
      </c>
      <c r="N28" s="552">
        <f>SUM(IF(F28="",E28,F28)+G28-H28-I28-K28-L28-M28)</f>
        <v>0</v>
      </c>
      <c r="O28" s="66" t="s">
        <v>61</v>
      </c>
    </row>
    <row r="29" spans="1:26" x14ac:dyDescent="0.2">
      <c r="A29" t="s">
        <v>339</v>
      </c>
      <c r="D29" s="66" t="s">
        <v>63</v>
      </c>
      <c r="E29" s="550">
        <f>[2]!StP1410EndBal</f>
        <v>0</v>
      </c>
      <c r="F29" s="54">
        <v>0</v>
      </c>
      <c r="G29" s="550">
        <f>-(SUMIFS('Accounting data'!$G$2:$G$37000,'Accounting data'!$H$2:$H$37000,"1410*",'Accounting data'!$K$2:$K$37000,"1*")+SUMIFS('Accounting data'!$G$2:$G$37000,'Accounting data'!$H$2:$H$37000,"1410*",'Accounting data'!$K$2:$K$37000,"2*")+SUMIFS('Accounting data'!$G$2:$G$37000,'Accounting data'!$H$2:$H$37000,"1410*",'Accounting data'!$K$2:$K$37000,"3*")+SUMIFS('Accounting data'!$G$2:$G$37000,'Accounting data'!$H$2:$H$37000,"1410*",'Accounting data'!$K$2:$K$37000,"4*")+SUMIFS('Accounting data'!$G$2:$G$37000,'Accounting data'!$H$2:$H$37000,"1410*",'Accounting data'!$K$2:$K$37000,"Other*"))</f>
        <v>0</v>
      </c>
      <c r="H29" s="102"/>
      <c r="I29" s="52">
        <v>0</v>
      </c>
      <c r="J29" s="550">
        <f>[1]!SP1410EarlyChildhoodBlockGrant</f>
        <v>0</v>
      </c>
      <c r="K29" s="552">
        <f>SUMIFS('Accounting data'!$G$2:$G$37000,'Accounting data'!$H$2:$H$37000,"1410*",'Accounting data'!$K$2:$K$37000,"6*")-SUMIFS('Accounting data'!$G$2:$G$37000,'Accounting data'!$H$2:$H$37000,"1410*",'Accounting data'!$K$2:$K$37000,"69*")-SUMIFS('Accounting data'!$G$2:$G$37000,'Accounting data'!$H$2:$H$37000,"1410*",'Accounting data'!$K$2:$K$37000,"67*")</f>
        <v>0</v>
      </c>
      <c r="L29" s="52">
        <v>0</v>
      </c>
      <c r="M29" s="52">
        <v>0</v>
      </c>
      <c r="N29" s="552">
        <f t="shared" ref="N29:N39" si="2">SUM(IF(F29="",E29,F29)+G29-H29-I29-K29-L29-M29)</f>
        <v>0</v>
      </c>
      <c r="O29" s="66" t="s">
        <v>63</v>
      </c>
    </row>
    <row r="30" spans="1:26" x14ac:dyDescent="0.2">
      <c r="A30" t="s">
        <v>340</v>
      </c>
      <c r="D30" s="66" t="s">
        <v>65</v>
      </c>
      <c r="E30" s="550">
        <f>[2]!StP1420EndBal</f>
        <v>0</v>
      </c>
      <c r="F30" s="54">
        <v>0</v>
      </c>
      <c r="G30" s="550">
        <f>-(SUMIFS('Accounting data'!$G$2:$G$37000,'Accounting data'!$H$2:$H$37000,"1420*",'Accounting data'!$K$2:$K$37000,"1*")+SUMIFS('Accounting data'!$G$2:$G$37000,'Accounting data'!$H$2:$H$37000,"1420*",'Accounting data'!$K$2:$K$37000,"2*")+SUMIFS('Accounting data'!$G$2:$G$37000,'Accounting data'!$H$2:$H$37000,"1420*",'Accounting data'!$K$2:$K$37000,"3*")+SUMIFS('Accounting data'!$G$2:$G$37000,'Accounting data'!$H$2:$H$37000,"1420*",'Accounting data'!$K$2:$K$37000,"4*")+SUMIFS('Accounting data'!$G$2:$G$37000,'Accounting data'!$H$2:$H$37000,"1420*",'Accounting data'!$K$2:$K$37000,"Other*"))</f>
        <v>0</v>
      </c>
      <c r="H30" s="102"/>
      <c r="I30" s="52">
        <v>0</v>
      </c>
      <c r="J30" s="550">
        <f>[1]!FP1420ExtendedSchool</f>
        <v>0</v>
      </c>
      <c r="K30" s="552">
        <f>SUMIFS('Accounting data'!$G$2:$G$37000,'Accounting data'!$H$2:$H$37000,"1420*",'Accounting data'!$K$2:$K$37000,"6*")-SUMIFS('Accounting data'!$G$2:$G$37000,'Accounting data'!$H$2:$H$37000,"1420*",'Accounting data'!$K$2:$K$37000,"69*")-SUMIFS('Accounting data'!$G$2:$G$37000,'Accounting data'!$H$2:$H$37000,"1420*",'Accounting data'!$K$2:$K$37000,"67*")</f>
        <v>0</v>
      </c>
      <c r="L30" s="52">
        <v>0</v>
      </c>
      <c r="M30" s="52">
        <v>0</v>
      </c>
      <c r="N30" s="552">
        <f t="shared" si="2"/>
        <v>0</v>
      </c>
      <c r="O30" s="66" t="s">
        <v>65</v>
      </c>
    </row>
    <row r="31" spans="1:26" x14ac:dyDescent="0.2">
      <c r="A31" t="s">
        <v>341</v>
      </c>
      <c r="D31" s="66" t="s">
        <v>67</v>
      </c>
      <c r="E31" s="550">
        <f>[2]!StP1425EndBal</f>
        <v>0</v>
      </c>
      <c r="F31" s="54">
        <v>0</v>
      </c>
      <c r="G31" s="550">
        <f>-(SUMIFS('Accounting data'!$G$2:$G$37000,'Accounting data'!$H$2:$H$37000,"1425*",'Accounting data'!$K$2:$K$37000,"1*")+SUMIFS('Accounting data'!$G$2:$G$37000,'Accounting data'!$H$2:$H$37000,"1425*",'Accounting data'!$K$2:$K$37000,"2*")+SUMIFS('Accounting data'!$G$2:$G$37000,'Accounting data'!$H$2:$H$37000,"1425*",'Accounting data'!$K$2:$K$37000,"3*")+SUMIFS('Accounting data'!$G$2:$G$37000,'Accounting data'!$H$2:$H$37000,"1425*",'Accounting data'!$K$2:$K$37000,"4*")+SUMIFS('Accounting data'!$G$2:$G$37000,'Accounting data'!$H$2:$H$37000,"1425*",'Accounting data'!$K$2:$K$37000,"Other*"))</f>
        <v>0</v>
      </c>
      <c r="H31" s="102"/>
      <c r="I31" s="52">
        <v>0</v>
      </c>
      <c r="J31" s="550">
        <f>[1]!SP1425AdultBasicEd</f>
        <v>0</v>
      </c>
      <c r="K31" s="552">
        <f>SUMIFS('Accounting data'!$G$2:$G$37000,'Accounting data'!$H$2:$H$37000,"1425*",'Accounting data'!$K$2:$K$37000,"6*")-SUMIFS('Accounting data'!$G$2:$G$37000,'Accounting data'!$H$2:$H$37000,"1425*",'Accounting data'!$K$2:$K$37000,"69*")-SUMIFS('Accounting data'!$G$2:$G$37000,'Accounting data'!$H$2:$H$37000,"1425*",'Accounting data'!$K$2:$K$37000,"67*")</f>
        <v>0</v>
      </c>
      <c r="L31" s="52">
        <v>0</v>
      </c>
      <c r="M31" s="52">
        <v>0</v>
      </c>
      <c r="N31" s="552">
        <f t="shared" si="2"/>
        <v>0</v>
      </c>
      <c r="O31" s="66" t="s">
        <v>67</v>
      </c>
    </row>
    <row r="32" spans="1:26" x14ac:dyDescent="0.2">
      <c r="A32" t="s">
        <v>342</v>
      </c>
      <c r="D32" s="66" t="s">
        <v>69</v>
      </c>
      <c r="E32" s="550">
        <f>[2]!StP1430EndBal</f>
        <v>0</v>
      </c>
      <c r="F32" s="54">
        <v>0</v>
      </c>
      <c r="G32" s="550">
        <f>-(SUMIFS('Accounting data'!$G$2:$G$37000,'Accounting data'!$H$2:$H$37000,"1430*",'Accounting data'!$K$2:$K$37000,"1*")+SUMIFS('Accounting data'!$G$2:$G$37000,'Accounting data'!$H$2:$H$37000,"1430*",'Accounting data'!$K$2:$K$37000,"2*")+SUMIFS('Accounting data'!$G$2:$G$37000,'Accounting data'!$H$2:$H$37000,"1430*",'Accounting data'!$K$2:$K$37000,"3*")+SUMIFS('Accounting data'!$G$2:$G$37000,'Accounting data'!$H$2:$H$37000,"1430*",'Accounting data'!$K$2:$K$37000,"4*")+SUMIFS('Accounting data'!$G$2:$G$37000,'Accounting data'!$H$2:$H$37000,"1430*",'Accounting data'!$K$2:$K$37000,"Other*"))</f>
        <v>0</v>
      </c>
      <c r="H32" s="102"/>
      <c r="I32" s="52">
        <v>0</v>
      </c>
      <c r="J32" s="550">
        <f>[1]!SP1430ChemicalAbuse</f>
        <v>0</v>
      </c>
      <c r="K32" s="552">
        <f>SUMIFS('Accounting data'!$G$2:$G$37000,'Accounting data'!$H$2:$H$37000,"1430*",'Accounting data'!$K$2:$K$37000,"6*")-SUMIFS('Accounting data'!$G$2:$G$37000,'Accounting data'!$H$2:$H$37000,"1430*",'Accounting data'!$K$2:$K$37000,"69*")-SUMIFS('Accounting data'!$G$2:$G$37000,'Accounting data'!$H$2:$H$37000,"1430*",'Accounting data'!$K$2:$K$37000,"67*")</f>
        <v>0</v>
      </c>
      <c r="L32" s="52">
        <v>0</v>
      </c>
      <c r="M32" s="52">
        <v>0</v>
      </c>
      <c r="N32" s="552">
        <f t="shared" si="2"/>
        <v>0</v>
      </c>
      <c r="O32" s="66" t="s">
        <v>69</v>
      </c>
    </row>
    <row r="33" spans="1:15" ht="12.75" customHeight="1" x14ac:dyDescent="0.2">
      <c r="A33" t="s">
        <v>343</v>
      </c>
      <c r="D33" s="66" t="s">
        <v>71</v>
      </c>
      <c r="E33" s="550">
        <f>[2]!StP1435EndBal</f>
        <v>0</v>
      </c>
      <c r="F33" s="54">
        <v>0</v>
      </c>
      <c r="G33" s="550">
        <f>-(SUMIFS('Accounting data'!$G$2:$G$37000,'Accounting data'!$H$2:$H$37000,"1435*",'Accounting data'!$K$2:$K$37000,"1*")+SUMIFS('Accounting data'!$G$2:$G$37000,'Accounting data'!$H$2:$H$37000,"1435*",'Accounting data'!$K$2:$K$37000,"2*")+SUMIFS('Accounting data'!$G$2:$G$37000,'Accounting data'!$H$2:$H$37000,"1435*",'Accounting data'!$K$2:$K$37000,"3*")+SUMIFS('Accounting data'!$G$2:$G$37000,'Accounting data'!$H$2:$H$37000,"1435*",'Accounting data'!$K$2:$K$37000,"4*")+SUMIFS('Accounting data'!$G$2:$G$37000,'Accounting data'!$H$2:$H$37000,"1435*",'Accounting data'!$K$2:$K$37000,"Other*"))</f>
        <v>0</v>
      </c>
      <c r="H33" s="102"/>
      <c r="I33" s="52">
        <v>0</v>
      </c>
      <c r="J33" s="550">
        <f>[1]!SP1435AcademicContests</f>
        <v>0</v>
      </c>
      <c r="K33" s="552">
        <f>SUMIFS('Accounting data'!$G$2:$G$37000,'Accounting data'!$H$2:$H$37000,"1435*",'Accounting data'!$K$2:$K$37000,"6*")-SUMIFS('Accounting data'!$G$2:$G$37000,'Accounting data'!$H$2:$H$37000,"1435*",'Accounting data'!$K$2:$K$37000,"69*")-SUMIFS('Accounting data'!$G$2:$G$37000,'Accounting data'!$H$2:$H$37000,"1435*",'Accounting data'!$K$2:$K$37000,"67*")</f>
        <v>0</v>
      </c>
      <c r="L33" s="52">
        <v>0</v>
      </c>
      <c r="M33" s="52">
        <v>0</v>
      </c>
      <c r="N33" s="552">
        <f t="shared" si="2"/>
        <v>0</v>
      </c>
      <c r="O33" s="66" t="s">
        <v>71</v>
      </c>
    </row>
    <row r="34" spans="1:15" ht="12.75" customHeight="1" x14ac:dyDescent="0.2">
      <c r="A34" t="s">
        <v>344</v>
      </c>
      <c r="D34" s="66" t="s">
        <v>73</v>
      </c>
      <c r="E34" s="550">
        <f>[2]!StP1450EndBal</f>
        <v>0</v>
      </c>
      <c r="F34" s="54">
        <v>0</v>
      </c>
      <c r="G34" s="550">
        <f>-(SUMIFS('Accounting data'!$G$2:$G$37000,'Accounting data'!$H$2:$H$37000,"1450*",'Accounting data'!$K$2:$K$37000,"1*")+SUMIFS('Accounting data'!$G$2:$G$37000,'Accounting data'!$H$2:$H$37000,"1450*",'Accounting data'!$K$2:$K$37000,"2*")+SUMIFS('Accounting data'!$G$2:$G$37000,'Accounting data'!$H$2:$H$37000,"1450*",'Accounting data'!$K$2:$K$37000,"3*")+SUMIFS('Accounting data'!$G$2:$G$37000,'Accounting data'!$H$2:$H$37000,"1450*",'Accounting data'!$K$2:$K$37000,"4*")+SUMIFS('Accounting data'!$G$2:$G$37000,'Accounting data'!$H$2:$H$37000,"1450*",'Accounting data'!$K$2:$K$37000,"Other*"))</f>
        <v>0</v>
      </c>
      <c r="H34" s="102"/>
      <c r="I34" s="52">
        <v>0</v>
      </c>
      <c r="J34" s="550">
        <f>[1]!SP1450GiftedEd</f>
        <v>0</v>
      </c>
      <c r="K34" s="552">
        <f>SUMIFS('Accounting data'!$G$2:$G$37000,'Accounting data'!$H$2:$H$37000,"1450*",'Accounting data'!$K$2:$K$37000,"6*")-SUMIFS('Accounting data'!$G$2:$G$37000,'Accounting data'!$H$2:$H$37000,"1450*",'Accounting data'!$K$2:$K$37000,"69*")-SUMIFS('Accounting data'!$G$2:$G$37000,'Accounting data'!$H$2:$H$37000,"1450*",'Accounting data'!$K$2:$K$37000,"67*")</f>
        <v>0</v>
      </c>
      <c r="L34" s="52">
        <v>0</v>
      </c>
      <c r="M34" s="52">
        <v>0</v>
      </c>
      <c r="N34" s="552">
        <f t="shared" si="2"/>
        <v>0</v>
      </c>
      <c r="O34" s="66" t="s">
        <v>73</v>
      </c>
    </row>
    <row r="35" spans="1:15" ht="12.75" customHeight="1" x14ac:dyDescent="0.2">
      <c r="A35" t="s">
        <v>345</v>
      </c>
      <c r="D35" s="66" t="s">
        <v>75</v>
      </c>
      <c r="E35" s="550" cm="1">
        <f t="array" ref="E35">[2]!StP1456EndBal</f>
        <v>0</v>
      </c>
      <c r="F35" s="54">
        <v>0</v>
      </c>
      <c r="G35" s="550">
        <f>-(SUMIFS('Accounting data'!$G$2:$G$37000,'Accounting data'!$H$2:$H$37000,"1456*",'Accounting data'!$K$2:$K$37000,"1*")+SUMIFS('Accounting data'!$G$2:$G$37000,'Accounting data'!$H$2:$H$37000,"1456*",'Accounting data'!$K$2:$K$37000,"2*")+SUMIFS('Accounting data'!$G$2:$G$37000,'Accounting data'!$H$2:$H$37000,"1456*",'Accounting data'!$K$2:$K$37000,"3*")+SUMIFS('Accounting data'!$G$2:$G$37000,'Accounting data'!$H$2:$H$37000,"1456*",'Accounting data'!$K$2:$K$37000,"4*")+SUMIFS('Accounting data'!$G$2:$G$37000,'Accounting data'!$H$2:$H$37000,"1456*",'Accounting data'!$K$2:$K$37000,"Other*"))</f>
        <v>0</v>
      </c>
      <c r="H35" s="102"/>
      <c r="I35" s="52">
        <v>0</v>
      </c>
      <c r="J35" s="550">
        <f>+'[1]Page 2'!$E$31</f>
        <v>0</v>
      </c>
      <c r="K35" s="552">
        <f>SUMIFS('Accounting data'!$G$2:$G$37000,'Accounting data'!$H$2:$H$37000,"1456*",'Accounting data'!$K$2:$K$37000,"6*")-SUMIFS('Accounting data'!$G$2:$G$37000,'Accounting data'!$H$2:$H$37000,"1456*",'Accounting data'!$K$2:$K$37000,"69*")-SUMIFS('Accounting data'!$G$2:$G$37000,'Accounting data'!$H$2:$H$37000,"1456*",'Accounting data'!$K$2:$K$37000,"67*")</f>
        <v>0</v>
      </c>
      <c r="L35" s="52">
        <v>0</v>
      </c>
      <c r="M35" s="52">
        <v>0</v>
      </c>
      <c r="N35" s="552">
        <f t="shared" si="2"/>
        <v>0</v>
      </c>
      <c r="O35" s="66" t="s">
        <v>75</v>
      </c>
    </row>
    <row r="36" spans="1:15" x14ac:dyDescent="0.2">
      <c r="A36" t="s">
        <v>346</v>
      </c>
      <c r="D36" s="66" t="s">
        <v>77</v>
      </c>
      <c r="E36" s="550">
        <f>[2]!StP1460EndBal</f>
        <v>0</v>
      </c>
      <c r="F36" s="54">
        <v>0</v>
      </c>
      <c r="G36" s="550">
        <f>-(SUMIFS('Accounting data'!$G$2:$G$37000,'Accounting data'!$H$2:$H$37000,"1460*",'Accounting data'!$K$2:$K$37000,"1*")+SUMIFS('Accounting data'!$G$2:$G$37000,'Accounting data'!$H$2:$H$37000,"1460*",'Accounting data'!$K$2:$K$37000,"2*")+SUMIFS('Accounting data'!$G$2:$G$37000,'Accounting data'!$H$2:$H$37000,"1460*",'Accounting data'!$K$2:$K$37000,"3*")+SUMIFS('Accounting data'!$G$2:$G$37000,'Accounting data'!$H$2:$H$37000,"1460*",'Accounting data'!$K$2:$K$37000,"4*")+SUMIFS('Accounting data'!$G$2:$G$37000,'Accounting data'!$H$2:$H$37000,"1460*",'Accounting data'!$K$2:$K$37000,"Other*"))</f>
        <v>0</v>
      </c>
      <c r="H36" s="185"/>
      <c r="I36" s="52">
        <v>0</v>
      </c>
      <c r="J36" s="550">
        <f>[1]!SP1460EnvironmentalSpecialPlate</f>
        <v>0</v>
      </c>
      <c r="K36" s="552">
        <f>SUMIFS('Accounting data'!$G$2:$G$37000,'Accounting data'!$H$2:$H$37000,"1460*",'Accounting data'!$K$2:$K$37000,"6*")-SUMIFS('Accounting data'!$G$2:$G$37000,'Accounting data'!$H$2:$H$37000,"1460*",'Accounting data'!$K$2:$K$37000,"69*")-SUMIFS('Accounting data'!$G$2:$G$37000,'Accounting data'!$H$2:$H$37000,"1460*",'Accounting data'!$K$2:$K$37000,"67*")</f>
        <v>0</v>
      </c>
      <c r="L36" s="52">
        <v>0</v>
      </c>
      <c r="M36" s="52">
        <v>0</v>
      </c>
      <c r="N36" s="552">
        <f t="shared" si="2"/>
        <v>0</v>
      </c>
      <c r="O36" s="66" t="s">
        <v>79</v>
      </c>
    </row>
    <row r="37" spans="1:15" ht="12.75" customHeight="1" x14ac:dyDescent="0.2">
      <c r="A37" t="s">
        <v>347</v>
      </c>
      <c r="D37" s="66" t="s">
        <v>79</v>
      </c>
      <c r="E37" s="550">
        <f>[2]!StP1465EndBal</f>
        <v>0</v>
      </c>
      <c r="F37" s="54">
        <v>0</v>
      </c>
      <c r="G37" s="550">
        <f>-(SUMIFS('Accounting data'!$G$2:$G$37000,'Accounting data'!$H$2:$H$37000,"1465*",'Accounting data'!$K$2:$K$37000,"1*")+SUMIFS('Accounting data'!$G$2:$G$37000,'Accounting data'!$H$2:$H$37000,"1465*",'Accounting data'!$K$2:$K$37000,"2*")+SUMIFS('Accounting data'!$G$2:$G$37000,'Accounting data'!$H$2:$H$37000,"1465*",'Accounting data'!$K$2:$K$37000,"3*")+SUMIFS('Accounting data'!$G$2:$G$37000,'Accounting data'!$H$2:$H$37000,"1465*",'Accounting data'!$K$2:$K$37000,"4*")+SUMIFS('Accounting data'!$G$2:$G$37000,'Accounting data'!$H$2:$H$37000,"1465*",'Accounting data'!$K$2:$K$37000,"Other*"))</f>
        <v>0</v>
      </c>
      <c r="H37" s="253"/>
      <c r="I37" s="52">
        <v>0</v>
      </c>
      <c r="J37" s="550">
        <f>[1]!SP1465CharterSchool</f>
        <v>0</v>
      </c>
      <c r="K37" s="552">
        <f>SUMIFS('Accounting data'!$G$2:$G$37000,'Accounting data'!$H$2:$H$37000,"1465*",'Accounting data'!$K$2:$K$37000,"6*")-SUMIFS('Accounting data'!$G$2:$G$37000,'Accounting data'!$H$2:$H$37000,"1465*",'Accounting data'!$K$2:$K$37000,"69*")-SUMIFS('Accounting data'!$G$2:$G$37000,'Accounting data'!$H$2:$H$37000,"1465*",'Accounting data'!$K$2:$K$37000,"67*")</f>
        <v>0</v>
      </c>
      <c r="L37" s="52">
        <v>0</v>
      </c>
      <c r="M37" s="52">
        <v>0</v>
      </c>
      <c r="N37" s="552">
        <f t="shared" si="2"/>
        <v>0</v>
      </c>
      <c r="O37" s="66" t="s">
        <v>81</v>
      </c>
    </row>
    <row r="38" spans="1:15" ht="12.75" customHeight="1" x14ac:dyDescent="0.2">
      <c r="A38" s="254" t="s">
        <v>348</v>
      </c>
      <c r="B38" s="254"/>
      <c r="C38" s="254"/>
      <c r="D38" s="70" t="s">
        <v>81</v>
      </c>
      <c r="E38" s="550">
        <f t="array" ref="E38">[2]!StP14XXEndBal</f>
        <v>0</v>
      </c>
      <c r="F38" s="54">
        <v>0</v>
      </c>
      <c r="G38" s="550">
        <f>-(SUMIFS('Accounting data'!$G$2:$G$37000,'Accounting data'!$H$2:$H$37000,"14XX*",'Accounting data'!$K$2:$K$37000,"1*")+SUMIFS('Accounting data'!$G$2:$G$37000,'Accounting data'!$H$2:$H$37000,"14XX*",'Accounting data'!$K$2:$K$37000,"2*")+SUMIFS('Accounting data'!$G$2:$G$37000,'Accounting data'!$H$2:$H$37000,"14XX*",'Accounting data'!$K$2:$K$37000,"3*")+SUMIFS('Accounting data'!$G$2:$G$37000,'Accounting data'!$H$2:$H$37000,"14XX*",'Accounting data'!$K$2:$K$37000,"4*")+SUMIFS('Accounting data'!$G$2:$G$37000,'Accounting data'!$H$2:$H$37000,"14XX*",'Accounting data'!$K$2:$K$37000,"Other*"))</f>
        <v>0</v>
      </c>
      <c r="H38" s="253"/>
      <c r="I38" s="52">
        <v>0</v>
      </c>
      <c r="J38" s="550">
        <f>'[1]Page 2'!$E$34</f>
        <v>0</v>
      </c>
      <c r="K38" s="552">
        <f>SUMIFS('Accounting data'!$G$2:$G$37000,'Accounting data'!$H$2:$H$37000,"14XX*",'Accounting data'!$K$2:$K$37000,"6*")-SUMIFS('Accounting data'!$G$2:$G$37000,'Accounting data'!$H$2:$H$37000,"14XX*",'Accounting data'!$K$2:$K$37000,"69*")-SUMIFS('Accounting data'!$G$2:$G$37000,'Accounting data'!$H$2:$H$37000,"14XX*",'Accounting data'!$K$2:$K$37000,"67*")</f>
        <v>0</v>
      </c>
      <c r="L38" s="52">
        <v>0</v>
      </c>
      <c r="M38" s="52">
        <v>0</v>
      </c>
      <c r="N38" s="552">
        <f t="shared" si="2"/>
        <v>0</v>
      </c>
      <c r="O38" s="70" t="s">
        <v>83</v>
      </c>
    </row>
    <row r="39" spans="1:15" ht="12.75" customHeight="1" thickBot="1" x14ac:dyDescent="0.25">
      <c r="A39" t="s">
        <v>349</v>
      </c>
      <c r="D39" s="66" t="s">
        <v>83</v>
      </c>
      <c r="E39" s="219">
        <f>[2]!StP14701499EndBal</f>
        <v>0</v>
      </c>
      <c r="F39" s="54">
        <v>0</v>
      </c>
      <c r="G39" s="219">
        <f>-(SUMIFS('Accounting data'!$G$2:$G$37000,'Accounting data'!$H$2:$H$37000,"1470*",'Accounting data'!$K$2:$K$37000,"1*")+SUMIFS('Accounting data'!$G$2:$G$37000,'Accounting data'!$H$2:$H$37000,"1470*",'Accounting data'!$K$2:$K$37000,"2*")+SUMIFS('Accounting data'!$G$2:$G$37000,'Accounting data'!$H$2:$H$37000,"1470*",'Accounting data'!$K$2:$K$37000,"3*")+SUMIFS('Accounting data'!$G$2:$G$37000,'Accounting data'!$H$2:$H$37000,"1470*",'Accounting data'!$K$2:$K$37000,"4*")+SUMIFS('Accounting data'!$G$2:$G$37000,'Accounting data'!$H$2:$H$37000,"1470*",'Accounting data'!$K$2:$K$37000,"Other*"))</f>
        <v>42631</v>
      </c>
      <c r="H39" s="255"/>
      <c r="I39" s="56">
        <v>0</v>
      </c>
      <c r="J39" s="219">
        <f>[1]!SP14701499Other</f>
        <v>10000</v>
      </c>
      <c r="K39" s="225">
        <f>SUMIFS('Accounting data'!$G$2:$G$37000,'Accounting data'!$H$2:$H$37000,"1470*",'Accounting data'!$K$2:$K$37000,"6*")-SUMIFS('Accounting data'!$G$2:$G$37000,'Accounting data'!$H$2:$H$37000,"1470*",'Accounting data'!$K$2:$K$37000,"69*")-SUMIFS('Accounting data'!$G$2:$G$37000,'Accounting data'!$H$2:$H$37000,"1470*",'Accounting data'!$K$2:$K$37000,"67*")</f>
        <v>42631</v>
      </c>
      <c r="L39" s="56">
        <v>0</v>
      </c>
      <c r="M39" s="56">
        <v>0</v>
      </c>
      <c r="N39" s="552">
        <f t="shared" si="2"/>
        <v>0</v>
      </c>
      <c r="O39" s="66" t="s">
        <v>84</v>
      </c>
    </row>
    <row r="40" spans="1:15" ht="13.5" thickBot="1" x14ac:dyDescent="0.25">
      <c r="A40" t="s">
        <v>1130</v>
      </c>
      <c r="D40" s="66" t="s">
        <v>84</v>
      </c>
      <c r="E40" s="220">
        <f>SUM(E28:E39)</f>
        <v>0</v>
      </c>
      <c r="F40" s="220" cm="1">
        <f t="array" ref="F40">SUM(IF(F28:F39="",E28:E39,F28:F39))</f>
        <v>0</v>
      </c>
      <c r="G40" s="220">
        <f>SUM(G28:G39)</f>
        <v>42631</v>
      </c>
      <c r="H40" s="256"/>
      <c r="I40" s="220">
        <f>SUM(I28:I39)</f>
        <v>0</v>
      </c>
      <c r="J40" s="220">
        <f>SUM(J28:J39)</f>
        <v>10000</v>
      </c>
      <c r="K40" s="220">
        <f>SUM(K28:K39)</f>
        <v>42631</v>
      </c>
      <c r="L40" s="220">
        <f>SUM(L28:L39)</f>
        <v>0</v>
      </c>
      <c r="M40" s="220">
        <f>SUM(M28:M39)</f>
        <v>0</v>
      </c>
      <c r="N40" s="552">
        <f>SUM(IF(F40="",E40,F40)+G40-H40-I40-K40-L40-M40)</f>
        <v>0</v>
      </c>
      <c r="O40" s="66" t="s">
        <v>137</v>
      </c>
    </row>
    <row r="41" spans="1:15" ht="13.5" thickTop="1" x14ac:dyDescent="0.2">
      <c r="D41" s="257"/>
      <c r="E41" s="29"/>
      <c r="F41" s="29"/>
      <c r="G41" s="29"/>
      <c r="H41" s="29"/>
      <c r="I41" s="29"/>
      <c r="J41" s="29"/>
      <c r="K41" s="29"/>
      <c r="L41" s="29"/>
      <c r="M41" s="29"/>
      <c r="N41" s="29"/>
      <c r="O41" s="258"/>
    </row>
    <row r="42" spans="1:15" ht="13.5" thickBot="1" x14ac:dyDescent="0.25">
      <c r="A42" s="212" t="s">
        <v>1129</v>
      </c>
      <c r="B42" s="212"/>
      <c r="C42" s="212"/>
      <c r="D42" s="66" t="s">
        <v>137</v>
      </c>
      <c r="E42" s="259">
        <f>SUM(E23+E40)</f>
        <v>0</v>
      </c>
      <c r="F42" s="259">
        <f>SUM(F23+F40)</f>
        <v>0</v>
      </c>
      <c r="G42" s="259">
        <f>SUM(G23+G40)</f>
        <v>80656</v>
      </c>
      <c r="H42" s="558">
        <f>H23</f>
        <v>0</v>
      </c>
      <c r="I42" s="259">
        <f>SUM(I23+I40)</f>
        <v>0</v>
      </c>
      <c r="J42" s="259">
        <f>SUM(J23+J40)</f>
        <v>48025</v>
      </c>
      <c r="K42" s="259">
        <f>SUM(K23+K40)</f>
        <v>80656</v>
      </c>
      <c r="L42" s="259">
        <f>SUM(L23+L40)</f>
        <v>0</v>
      </c>
      <c r="M42" s="259">
        <f>SUM(M23+M40)</f>
        <v>0</v>
      </c>
      <c r="N42" s="552">
        <f>SUM(IF(F42="",E42,F42)+G42-H42-I42-K42-L42-M42)</f>
        <v>0</v>
      </c>
      <c r="O42" s="66" t="s">
        <v>138</v>
      </c>
    </row>
  </sheetData>
  <sheetProtection sheet="1" formatCells="0" formatColumns="0" formatRows="0"/>
  <mergeCells count="5">
    <mergeCell ref="A3:D3"/>
    <mergeCell ref="B1:D1"/>
    <mergeCell ref="H1:I1"/>
    <mergeCell ref="J4:K4"/>
    <mergeCell ref="B4:C4"/>
  </mergeCells>
  <conditionalFormatting sqref="F6:F22 F25 F28:F39">
    <cfRule type="expression" dxfId="45" priority="1" stopIfTrue="1">
      <formula>$F6=""</formula>
    </cfRule>
  </conditionalFormatting>
  <conditionalFormatting sqref="I6:I22 I28:I39">
    <cfRule type="expression" dxfId="44" priority="7" stopIfTrue="1">
      <formula>$I6=""</formula>
    </cfRule>
  </conditionalFormatting>
  <conditionalFormatting sqref="I25 M25">
    <cfRule type="expression" dxfId="43" priority="5" stopIfTrue="1">
      <formula>I$25=""</formula>
    </cfRule>
  </conditionalFormatting>
  <conditionalFormatting sqref="L22 L28:L39">
    <cfRule type="containsBlanks" dxfId="42" priority="4">
      <formula>LEN(TRIM(L22))=0</formula>
    </cfRule>
  </conditionalFormatting>
  <conditionalFormatting sqref="L25">
    <cfRule type="containsBlanks" dxfId="41" priority="3">
      <formula>LEN(TRIM(L25))=0</formula>
    </cfRule>
  </conditionalFormatting>
  <conditionalFormatting sqref="M6:M22 M28:M39">
    <cfRule type="expression" dxfId="40" priority="6" stopIfTrue="1">
      <formula>$M6=""</formula>
    </cfRule>
  </conditionalFormatting>
  <hyperlinks>
    <hyperlink ref="A3:D3" location="FederalAndStateProjectsPage9" display="FEDERAL AND STATE PROJECTS" xr:uid="{00000000-0004-0000-0900-000000000000}"/>
    <hyperlink ref="A42:C42" location="FederalAndStateProjectsPage9Line30" display="     Total Federal and State Projects (lines 17 and 29)" xr:uid="{00000000-0004-0000-0900-000001000000}"/>
    <hyperlink ref="A21:C22" location="ImpactAidandOtherFederalProjects" display="13__ Impact Aid" xr:uid="{00000000-0004-0000-0900-000002000000}"/>
    <hyperlink ref="A25:C25" location="ImpactAidandOtherFederalProjects" display="Total COVID-19 federal relief projects included in line 17" xr:uid="{00000000-0004-0000-0900-000003000000}"/>
    <hyperlink ref="F3" location="FederalAndStateProjectsAdjustedBeginningProjectBalance" display="Adjusted" xr:uid="{00000000-0004-0000-0900-000004000000}"/>
    <hyperlink ref="F4" location="FederalAndStateProjectsAdjustedBeginningProjectBalance" display="Beginning" xr:uid="{00000000-0004-0000-0900-000005000000}"/>
    <hyperlink ref="F5" location="FederalAndStateProjectsAdjustedBeginningProjectBalance" display="Project Balance" xr:uid="{00000000-0004-0000-0900-000006000000}"/>
    <hyperlink ref="B4" location="FederalAndStateProjectsPage9" display="Instructions" xr:uid="{F088FE02-AC28-4617-B207-65B044D1BE71}"/>
  </hyperlinks>
  <pageMargins left="0.7" right="0.7" top="0.75" bottom="0.75" header="0.3" footer="0.3"/>
  <pageSetup scale="67" orientation="landscape" verticalDpi="598" r:id="rId1"/>
  <headerFooter>
    <oddFooter>&amp;LRev. 8/25 Arizona Department of Education and Auditor General&amp;CFY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4E4D-A9EB-428D-BDA2-238716D84E95}">
  <sheetPr>
    <pageSetUpPr fitToPage="1"/>
  </sheetPr>
  <dimension ref="A1:AA64"/>
  <sheetViews>
    <sheetView showGridLines="0" tabSelected="1" topLeftCell="B46" workbookViewId="0">
      <selection activeCell="K57" sqref="K57"/>
    </sheetView>
  </sheetViews>
  <sheetFormatPr defaultColWidth="9.33203125" defaultRowHeight="12.75" customHeight="1" x14ac:dyDescent="0.2"/>
  <cols>
    <col min="1" max="1" width="19.83203125" style="154" customWidth="1"/>
    <col min="2" max="2" width="42.83203125" style="154" customWidth="1"/>
    <col min="3" max="3" width="3" style="154" customWidth="1"/>
    <col min="4" max="6" width="16.83203125" style="154" customWidth="1"/>
    <col min="7" max="7" width="18.6640625" style="154" customWidth="1"/>
    <col min="8" max="10" width="17.83203125" style="157" customWidth="1"/>
    <col min="11" max="11" width="16.83203125" style="157" customWidth="1"/>
    <col min="12" max="12" width="3" style="154" customWidth="1"/>
    <col min="13" max="13" width="10.83203125" style="154" customWidth="1"/>
    <col min="14" max="14" width="9.33203125" style="154" customWidth="1"/>
    <col min="15" max="15" width="2.33203125" style="154" customWidth="1"/>
    <col min="16" max="16" width="9.33203125" style="154" customWidth="1"/>
    <col min="17" max="25" width="9.33203125" style="154" hidden="1" customWidth="1"/>
    <col min="26" max="29" width="9.33203125" style="154" customWidth="1"/>
    <col min="30" max="16384" width="9.33203125" style="154"/>
  </cols>
  <sheetData>
    <row r="1" spans="1:27" ht="12" customHeight="1" x14ac:dyDescent="0.2">
      <c r="A1" s="3" t="s">
        <v>0</v>
      </c>
      <c r="B1" s="1" t="str">
        <f>'Cover Page'!D1</f>
        <v>Pima Rose Academy, Inc.</v>
      </c>
      <c r="C1" s="4"/>
      <c r="D1"/>
      <c r="E1" s="62" t="s">
        <v>1</v>
      </c>
      <c r="F1" s="808" t="str">
        <f>'Cover Page'!M1</f>
        <v>Pima</v>
      </c>
      <c r="G1" s="808"/>
      <c r="H1"/>
      <c r="I1" s="62"/>
      <c r="J1" s="62" t="s">
        <v>2</v>
      </c>
      <c r="K1" s="2" t="str">
        <f>'Cover Page'!R1</f>
        <v>108602000</v>
      </c>
      <c r="L1" s="260"/>
      <c r="M1" s="4"/>
      <c r="N1" s="580"/>
      <c r="O1" s="580"/>
    </row>
    <row r="2" spans="1:27" ht="12" customHeight="1" x14ac:dyDescent="0.2">
      <c r="A2" s="62"/>
      <c r="B2" s="62"/>
      <c r="C2" s="3"/>
      <c r="D2" s="4"/>
      <c r="E2"/>
      <c r="F2"/>
      <c r="G2"/>
      <c r="H2" s="62"/>
      <c r="I2" s="4"/>
      <c r="J2" s="4"/>
      <c r="K2" s="4"/>
      <c r="L2"/>
      <c r="M2" s="4"/>
      <c r="N2" s="580"/>
      <c r="O2" s="580"/>
    </row>
    <row r="3" spans="1:27" ht="12" customHeight="1" x14ac:dyDescent="0.2">
      <c r="A3" s="261"/>
      <c r="B3" s="261"/>
      <c r="C3" s="261"/>
      <c r="D3" s="261"/>
      <c r="E3" s="261"/>
      <c r="F3" s="261"/>
      <c r="G3" s="261"/>
      <c r="H3" s="261"/>
      <c r="I3" s="261"/>
      <c r="J3" s="261"/>
      <c r="K3" s="261"/>
      <c r="L3" s="261"/>
      <c r="M3" s="261"/>
    </row>
    <row r="4" spans="1:27" ht="12" customHeight="1" x14ac:dyDescent="0.2">
      <c r="A4" s="261"/>
      <c r="B4" s="261"/>
      <c r="C4" s="890" t="s">
        <v>350</v>
      </c>
      <c r="D4" s="890"/>
      <c r="E4" s="890"/>
      <c r="F4" s="890"/>
      <c r="G4" s="890"/>
      <c r="H4" s="890"/>
      <c r="I4" s="890"/>
      <c r="J4" s="890"/>
      <c r="K4" s="890"/>
      <c r="L4" s="890"/>
      <c r="M4" s="261"/>
    </row>
    <row r="5" spans="1:27" ht="12" customHeight="1" x14ac:dyDescent="0.2">
      <c r="B5" s="656" t="s">
        <v>726</v>
      </c>
    </row>
    <row r="6" spans="1:27" ht="12" customHeight="1" x14ac:dyDescent="0.2">
      <c r="A6" s="262"/>
      <c r="B6" s="262"/>
      <c r="D6" s="891" t="s">
        <v>351</v>
      </c>
      <c r="E6" s="891"/>
      <c r="F6" s="891"/>
      <c r="G6" s="891"/>
      <c r="H6" s="891"/>
      <c r="I6" s="891"/>
      <c r="J6" s="891"/>
      <c r="K6" s="891"/>
      <c r="L6" s="263"/>
      <c r="M6" s="157"/>
      <c r="N6" s="157"/>
      <c r="V6" s="264"/>
    </row>
    <row r="7" spans="1:27" ht="12" customHeight="1" x14ac:dyDescent="0.2">
      <c r="D7" s="265"/>
      <c r="E7" s="266"/>
      <c r="F7" s="266" t="s">
        <v>150</v>
      </c>
      <c r="G7" s="266"/>
      <c r="H7" s="266"/>
      <c r="I7" s="267"/>
      <c r="J7" s="267" t="s">
        <v>94</v>
      </c>
      <c r="K7" s="268"/>
      <c r="L7" s="269"/>
      <c r="M7" s="157"/>
      <c r="N7" s="157"/>
      <c r="T7" s="264"/>
      <c r="V7" s="264"/>
    </row>
    <row r="8" spans="1:27" ht="12" customHeight="1" x14ac:dyDescent="0.2">
      <c r="D8" s="270"/>
      <c r="E8" s="271" t="s">
        <v>85</v>
      </c>
      <c r="F8" s="271" t="s">
        <v>92</v>
      </c>
      <c r="G8" s="271"/>
      <c r="H8" s="272" t="s">
        <v>352</v>
      </c>
      <c r="I8" s="272"/>
      <c r="J8" s="272" t="s">
        <v>353</v>
      </c>
      <c r="K8" s="268"/>
      <c r="L8" s="273"/>
      <c r="N8" s="157"/>
      <c r="U8" s="264"/>
    </row>
    <row r="9" spans="1:27" ht="12" customHeight="1" x14ac:dyDescent="0.2">
      <c r="D9" s="271" t="s">
        <v>90</v>
      </c>
      <c r="E9" s="274" t="s">
        <v>91</v>
      </c>
      <c r="F9" s="274" t="s">
        <v>354</v>
      </c>
      <c r="G9" s="274" t="s">
        <v>93</v>
      </c>
      <c r="H9" s="272" t="s">
        <v>355</v>
      </c>
      <c r="I9" s="275" t="s">
        <v>356</v>
      </c>
      <c r="J9" s="275" t="s">
        <v>357</v>
      </c>
      <c r="K9" s="276" t="s">
        <v>358</v>
      </c>
      <c r="L9" s="273"/>
      <c r="N9" s="157"/>
      <c r="U9" s="264"/>
      <c r="AA9" s="264"/>
    </row>
    <row r="10" spans="1:27" ht="12" customHeight="1" x14ac:dyDescent="0.2">
      <c r="A10" s="277" t="s">
        <v>359</v>
      </c>
      <c r="B10" s="277"/>
      <c r="D10" s="274">
        <v>6100</v>
      </c>
      <c r="E10" s="274">
        <v>6200</v>
      </c>
      <c r="F10" s="274">
        <v>6500</v>
      </c>
      <c r="G10" s="274">
        <v>6600</v>
      </c>
      <c r="H10" s="274">
        <v>6810</v>
      </c>
      <c r="I10" s="275">
        <v>6890</v>
      </c>
      <c r="J10" s="275" t="s">
        <v>360</v>
      </c>
      <c r="K10" s="278" t="s">
        <v>361</v>
      </c>
      <c r="L10" s="273"/>
      <c r="N10" s="157"/>
      <c r="S10" s="264"/>
      <c r="AA10" s="157"/>
    </row>
    <row r="11" spans="1:27" ht="12" customHeight="1" x14ac:dyDescent="0.2">
      <c r="A11" s="577" t="s">
        <v>197</v>
      </c>
      <c r="B11" s="577"/>
      <c r="C11" s="279" t="s">
        <v>24</v>
      </c>
      <c r="D11" s="552">
        <f>Calculations!E8</f>
        <v>211003</v>
      </c>
      <c r="E11" s="552">
        <f>Calculations!E113</f>
        <v>23151</v>
      </c>
      <c r="F11" s="552">
        <f>Calculations!E238</f>
        <v>2258333</v>
      </c>
      <c r="G11" s="552">
        <f>Calculations!E636</f>
        <v>116389</v>
      </c>
      <c r="H11" s="552">
        <f>Calculations!E951</f>
        <v>4218</v>
      </c>
      <c r="I11" s="552">
        <f>Calculations!E1116</f>
        <v>0</v>
      </c>
      <c r="J11" s="552">
        <f>Calculations!E1454-H11-I11</f>
        <v>0</v>
      </c>
      <c r="K11" s="545">
        <v>0</v>
      </c>
      <c r="L11" s="280" t="s">
        <v>24</v>
      </c>
      <c r="N11" s="157"/>
      <c r="S11" s="264"/>
      <c r="AA11" s="281" t="str">
        <f>IF(OR(K11="",K14="",K13="",K15="",K16="",K17="",K18="",K19="",K21="",K22="",K24="",K25="",K26=""),"yes","")</f>
        <v/>
      </c>
    </row>
    <row r="12" spans="1:27" ht="12" customHeight="1" x14ac:dyDescent="0.2">
      <c r="A12" s="154" t="s">
        <v>198</v>
      </c>
      <c r="C12" s="279"/>
      <c r="D12" s="282"/>
      <c r="E12" s="282"/>
      <c r="F12" s="282"/>
      <c r="G12" s="282"/>
      <c r="H12" s="282"/>
      <c r="I12" s="282"/>
      <c r="J12" s="282"/>
      <c r="K12" s="88"/>
      <c r="L12" s="280"/>
      <c r="N12" s="157"/>
      <c r="S12" s="264"/>
      <c r="AA12" s="281" t="str">
        <f>IF(OR(E33="",E34="",E35="",E36="",E40="",E41="",E42="",E43="",E44="",E49="",E53="",E54="",E55="",E56=""),"yes","")</f>
        <v/>
      </c>
    </row>
    <row r="13" spans="1:27" ht="12" customHeight="1" x14ac:dyDescent="0.2">
      <c r="A13" s="577" t="s">
        <v>362</v>
      </c>
      <c r="B13" s="577"/>
      <c r="C13" s="279" t="s">
        <v>26</v>
      </c>
      <c r="D13" s="557">
        <f>Calculations!E15</f>
        <v>89168</v>
      </c>
      <c r="E13" s="557">
        <f>Calculations!E120</f>
        <v>6821</v>
      </c>
      <c r="F13" s="557">
        <f>Calculations!E265</f>
        <v>236341</v>
      </c>
      <c r="G13" s="557">
        <f>Calculations!E643</f>
        <v>8844</v>
      </c>
      <c r="H13" s="557">
        <f>Calculations!E958</f>
        <v>0</v>
      </c>
      <c r="I13" s="557">
        <f>Calculations!E1123</f>
        <v>0</v>
      </c>
      <c r="J13" s="557">
        <f>Calculations!E1459-H13-I13</f>
        <v>0</v>
      </c>
      <c r="K13" s="53">
        <v>0</v>
      </c>
      <c r="L13" s="280" t="s">
        <v>26</v>
      </c>
      <c r="W13" s="264"/>
      <c r="AA13" s="281" t="str">
        <f>IF(OR(K30="",K31="",K32="",K36="",K37="",K38="",K41="",K42="",K46="",K47="",K51="",K52="",K53="",K54="",K55="",K56="",K59="",K60=""),"yes","")</f>
        <v/>
      </c>
    </row>
    <row r="14" spans="1:27" ht="12" customHeight="1" x14ac:dyDescent="0.2">
      <c r="A14" s="577" t="s">
        <v>363</v>
      </c>
      <c r="B14" s="577"/>
      <c r="C14" s="279" t="s">
        <v>28</v>
      </c>
      <c r="D14" s="552">
        <f>Calculations!E22</f>
        <v>138985</v>
      </c>
      <c r="E14" s="552">
        <f>Calculations!E127</f>
        <v>33648</v>
      </c>
      <c r="F14" s="552">
        <f>Calculations!E292</f>
        <v>83611</v>
      </c>
      <c r="G14" s="552">
        <f>Calculations!E650</f>
        <v>1241</v>
      </c>
      <c r="H14" s="552">
        <f>Calculations!E965</f>
        <v>0</v>
      </c>
      <c r="I14" s="552">
        <f>Calculations!E1130</f>
        <v>0</v>
      </c>
      <c r="J14" s="552">
        <f>Calculations!E1464-H14-I14</f>
        <v>0</v>
      </c>
      <c r="K14" s="53">
        <v>0</v>
      </c>
      <c r="L14" s="283" t="s">
        <v>28</v>
      </c>
      <c r="N14" s="157"/>
      <c r="W14" s="264"/>
      <c r="AA14" s="281" t="str">
        <f>IF(AND(AA11="",AA12="",AA13=""),"","yes")</f>
        <v/>
      </c>
    </row>
    <row r="15" spans="1:27" ht="12" customHeight="1" x14ac:dyDescent="0.2">
      <c r="A15" s="577" t="s">
        <v>364</v>
      </c>
      <c r="B15" s="577"/>
      <c r="C15" s="279" t="s">
        <v>31</v>
      </c>
      <c r="D15" s="552">
        <f>Calculations!E29</f>
        <v>64470</v>
      </c>
      <c r="E15" s="552">
        <f>Calculations!E134</f>
        <v>28799</v>
      </c>
      <c r="F15" s="552">
        <f>Calculations!E319</f>
        <v>56970</v>
      </c>
      <c r="G15" s="552">
        <f>Calculations!E657</f>
        <v>0</v>
      </c>
      <c r="H15" s="552">
        <f>Calculations!E972</f>
        <v>0</v>
      </c>
      <c r="I15" s="552">
        <f>Calculations!E1137</f>
        <v>0</v>
      </c>
      <c r="J15" s="552">
        <f>Calculations!E1469-H15-I15</f>
        <v>0</v>
      </c>
      <c r="K15" s="52">
        <v>0</v>
      </c>
      <c r="L15" s="283" t="s">
        <v>31</v>
      </c>
    </row>
    <row r="16" spans="1:27" ht="12" customHeight="1" x14ac:dyDescent="0.2">
      <c r="A16" s="284" t="s">
        <v>365</v>
      </c>
      <c r="B16" s="284"/>
      <c r="C16" s="285" t="s">
        <v>33</v>
      </c>
      <c r="D16" s="552">
        <f>Calculations!E36</f>
        <v>68036</v>
      </c>
      <c r="E16" s="552">
        <f>Calculations!E141</f>
        <v>11323</v>
      </c>
      <c r="F16" s="552">
        <f>Calculations!E346</f>
        <v>83034</v>
      </c>
      <c r="G16" s="552">
        <f>Calculations!E664</f>
        <v>0</v>
      </c>
      <c r="H16" s="552">
        <f>Calculations!E979</f>
        <v>0</v>
      </c>
      <c r="I16" s="552">
        <f>Calculations!E1144</f>
        <v>0</v>
      </c>
      <c r="J16" s="552">
        <f>Calculations!E1474-H16-I16</f>
        <v>0</v>
      </c>
      <c r="K16" s="52">
        <v>0</v>
      </c>
      <c r="L16" s="286" t="s">
        <v>33</v>
      </c>
    </row>
    <row r="17" spans="1:12" ht="12" customHeight="1" x14ac:dyDescent="0.2">
      <c r="A17" s="287" t="s">
        <v>366</v>
      </c>
      <c r="B17" s="287"/>
      <c r="C17" s="285" t="s">
        <v>35</v>
      </c>
      <c r="D17" s="552">
        <f>Calculations!E43+Calculations!E50</f>
        <v>35292</v>
      </c>
      <c r="E17" s="552">
        <f>Calculations!E148+Calculations!E155</f>
        <v>15640</v>
      </c>
      <c r="F17" s="552">
        <f>Calculations!E373+Calculations!E400</f>
        <v>254593</v>
      </c>
      <c r="G17" s="552">
        <f>Calculations!E671+Calculations!E678</f>
        <v>0</v>
      </c>
      <c r="H17" s="552">
        <f>Calculations!E986+Calculations!E993</f>
        <v>0</v>
      </c>
      <c r="I17" s="552">
        <f>Calculations!E1151+Calculations!E1158</f>
        <v>0</v>
      </c>
      <c r="J17" s="552">
        <f>Calculations!E1479+Calculations!E1484-Calculations!E1082-H17-I17</f>
        <v>9855</v>
      </c>
      <c r="K17" s="52">
        <v>0</v>
      </c>
      <c r="L17" s="286" t="s">
        <v>35</v>
      </c>
    </row>
    <row r="18" spans="1:12" ht="12" customHeight="1" x14ac:dyDescent="0.2">
      <c r="A18" s="577" t="s">
        <v>367</v>
      </c>
      <c r="B18" s="577"/>
      <c r="C18" s="285" t="s">
        <v>36</v>
      </c>
      <c r="D18" s="552">
        <f>Calculations!E57</f>
        <v>0</v>
      </c>
      <c r="E18" s="552">
        <f>Calculations!E162</f>
        <v>0</v>
      </c>
      <c r="F18" s="552">
        <f>Calculations!E427</f>
        <v>626037</v>
      </c>
      <c r="G18" s="552">
        <f>Calculations!E685</f>
        <v>3942</v>
      </c>
      <c r="H18" s="552">
        <f>Calculations!E1000</f>
        <v>1010</v>
      </c>
      <c r="I18" s="552">
        <f>Calculations!E1165</f>
        <v>0</v>
      </c>
      <c r="J18" s="552">
        <f>Calculations!E1489-H18-I18</f>
        <v>0</v>
      </c>
      <c r="K18" s="52">
        <v>0</v>
      </c>
      <c r="L18" s="286" t="s">
        <v>36</v>
      </c>
    </row>
    <row r="19" spans="1:12" ht="12" customHeight="1" x14ac:dyDescent="0.2">
      <c r="A19" s="288" t="s">
        <v>368</v>
      </c>
      <c r="B19" s="288"/>
      <c r="C19" s="285" t="s">
        <v>38</v>
      </c>
      <c r="D19" s="552">
        <f>Calculations!E64</f>
        <v>0</v>
      </c>
      <c r="E19" s="552">
        <f>Calculations!E169</f>
        <v>0</v>
      </c>
      <c r="F19" s="552">
        <f>Calculations!E454</f>
        <v>0</v>
      </c>
      <c r="G19" s="552">
        <f>Calculations!E692</f>
        <v>0</v>
      </c>
      <c r="H19" s="552">
        <f>Calculations!E1007</f>
        <v>0</v>
      </c>
      <c r="I19" s="552">
        <f>Calculations!E1172</f>
        <v>0</v>
      </c>
      <c r="J19" s="552">
        <f>Calculations!E1494-H19-I19</f>
        <v>0</v>
      </c>
      <c r="K19" s="55">
        <v>0</v>
      </c>
      <c r="L19" s="286" t="s">
        <v>38</v>
      </c>
    </row>
    <row r="20" spans="1:12" ht="12" customHeight="1" x14ac:dyDescent="0.2">
      <c r="A20" s="577" t="s">
        <v>369</v>
      </c>
      <c r="B20" s="577"/>
      <c r="C20" s="285"/>
      <c r="D20" s="282"/>
      <c r="E20" s="282"/>
      <c r="F20" s="282"/>
      <c r="G20" s="282"/>
      <c r="H20" s="282"/>
      <c r="I20" s="282"/>
      <c r="J20" s="282"/>
      <c r="K20" s="88"/>
      <c r="L20" s="289"/>
    </row>
    <row r="21" spans="1:12" ht="12" customHeight="1" x14ac:dyDescent="0.2">
      <c r="A21" s="288" t="s">
        <v>370</v>
      </c>
      <c r="B21" s="288"/>
      <c r="C21" s="285" t="s">
        <v>40</v>
      </c>
      <c r="D21" s="557">
        <f>Calculations!E71</f>
        <v>0</v>
      </c>
      <c r="E21" s="557">
        <f>Calculations!E176</f>
        <v>0</v>
      </c>
      <c r="F21" s="557">
        <f>Calculations!E481</f>
        <v>0</v>
      </c>
      <c r="G21" s="557">
        <f>Calculations!E699</f>
        <v>0</v>
      </c>
      <c r="H21" s="557">
        <f>Calculations!E1014</f>
        <v>0</v>
      </c>
      <c r="I21" s="557">
        <f>Calculations!E1179</f>
        <v>0</v>
      </c>
      <c r="J21" s="557">
        <f>Calculations!E1499-H21-I21</f>
        <v>0</v>
      </c>
      <c r="K21" s="53">
        <v>0</v>
      </c>
      <c r="L21" s="289" t="s">
        <v>40</v>
      </c>
    </row>
    <row r="22" spans="1:12" ht="12" customHeight="1" x14ac:dyDescent="0.2">
      <c r="A22" s="288" t="s">
        <v>371</v>
      </c>
      <c r="B22" s="288"/>
      <c r="C22" s="285" t="s">
        <v>42</v>
      </c>
      <c r="D22" s="552">
        <f>Calculations!E85</f>
        <v>0</v>
      </c>
      <c r="E22" s="552">
        <f>Calculations!E190</f>
        <v>0</v>
      </c>
      <c r="F22" s="552">
        <f>Calculations!E535</f>
        <v>0</v>
      </c>
      <c r="G22" s="552">
        <f>Calculations!E713</f>
        <v>0</v>
      </c>
      <c r="H22" s="552">
        <f>Calculations!E1028</f>
        <v>0</v>
      </c>
      <c r="I22" s="552">
        <f>Calculations!E1193</f>
        <v>0</v>
      </c>
      <c r="J22" s="552">
        <f>Calculations!E1504-H22-I22</f>
        <v>0</v>
      </c>
      <c r="K22" s="53">
        <v>0</v>
      </c>
      <c r="L22" s="286" t="s">
        <v>42</v>
      </c>
    </row>
    <row r="23" spans="1:12" ht="12" customHeight="1" x14ac:dyDescent="0.2">
      <c r="A23" s="288" t="s">
        <v>372</v>
      </c>
      <c r="B23" s="288"/>
      <c r="C23" s="285" t="s">
        <v>44</v>
      </c>
      <c r="D23" s="552">
        <f t="shared" ref="D23:K23" si="0">SUM(D11:D22)</f>
        <v>606954</v>
      </c>
      <c r="E23" s="552">
        <f t="shared" si="0"/>
        <v>119382</v>
      </c>
      <c r="F23" s="552">
        <f t="shared" si="0"/>
        <v>3598919</v>
      </c>
      <c r="G23" s="552">
        <f t="shared" si="0"/>
        <v>130416</v>
      </c>
      <c r="H23" s="552">
        <f t="shared" si="0"/>
        <v>5228</v>
      </c>
      <c r="I23" s="552">
        <f t="shared" si="0"/>
        <v>0</v>
      </c>
      <c r="J23" s="552">
        <f t="shared" si="0"/>
        <v>9855</v>
      </c>
      <c r="K23" s="552">
        <f t="shared" si="0"/>
        <v>0</v>
      </c>
      <c r="L23" s="286" t="s">
        <v>44</v>
      </c>
    </row>
    <row r="24" spans="1:12" ht="12" customHeight="1" x14ac:dyDescent="0.2">
      <c r="A24" s="288" t="s">
        <v>373</v>
      </c>
      <c r="B24" s="288"/>
      <c r="C24" s="285" t="s">
        <v>45</v>
      </c>
      <c r="D24" s="552">
        <f>Calculations!E106</f>
        <v>0</v>
      </c>
      <c r="E24" s="552">
        <f>Calculations!E211</f>
        <v>0</v>
      </c>
      <c r="F24" s="552">
        <f>Calculations!E629</f>
        <v>36640</v>
      </c>
      <c r="G24" s="550">
        <f>Calculations!E734+'Food Service'!$E$10+'Food Service'!$E$11</f>
        <v>1385</v>
      </c>
      <c r="H24" s="552">
        <f>Calculations!E1049</f>
        <v>0</v>
      </c>
      <c r="I24" s="552">
        <f>Calculations!E1214</f>
        <v>0</v>
      </c>
      <c r="J24" s="552">
        <f>Calculations!E1518-Calculations!E1109-H24-I24</f>
        <v>0</v>
      </c>
      <c r="K24" s="52">
        <v>0</v>
      </c>
      <c r="L24" s="286" t="s">
        <v>45</v>
      </c>
    </row>
    <row r="25" spans="1:12" ht="12" customHeight="1" x14ac:dyDescent="0.2">
      <c r="A25" s="288" t="s">
        <v>374</v>
      </c>
      <c r="B25" s="288"/>
      <c r="C25" s="285" t="s">
        <v>47</v>
      </c>
      <c r="D25" s="552">
        <f>Calculations!E93-Calculations!E106</f>
        <v>606954</v>
      </c>
      <c r="E25" s="552">
        <f>Calculations!E198-Calculations!E211</f>
        <v>119382</v>
      </c>
      <c r="F25" s="552">
        <f>Calculations!E563-Calculations!E629</f>
        <v>3562279</v>
      </c>
      <c r="G25" s="550">
        <f>Calculations!E721-Calculations!E734-'Food Service'!$E$10-'Food Service'!$E$11</f>
        <v>129031</v>
      </c>
      <c r="H25" s="552">
        <f>Calculations!E1036-Calculations!E1049</f>
        <v>5228</v>
      </c>
      <c r="I25" s="552">
        <f>Calculations!E1201-Calculations!E1214</f>
        <v>0</v>
      </c>
      <c r="J25" s="552">
        <f>Calculations!E1505-Calculations!E1518-Calculations!E1082-H25-I25</f>
        <v>9855</v>
      </c>
      <c r="K25" s="52">
        <v>0</v>
      </c>
      <c r="L25" s="286" t="s">
        <v>47</v>
      </c>
    </row>
    <row r="26" spans="1:12" ht="12" customHeight="1" x14ac:dyDescent="0.2">
      <c r="A26" s="288" t="s">
        <v>375</v>
      </c>
      <c r="B26" s="288"/>
      <c r="C26" s="285" t="s">
        <v>49</v>
      </c>
      <c r="D26" s="552">
        <f>Calculations!E92</f>
        <v>0</v>
      </c>
      <c r="E26" s="552">
        <f>Calculations!E197</f>
        <v>0</v>
      </c>
      <c r="F26" s="552">
        <f>Calculations!E562</f>
        <v>0</v>
      </c>
      <c r="G26" s="552">
        <f>Calculations!E720</f>
        <v>0</v>
      </c>
      <c r="H26" s="552">
        <f>Calculations!E1035</f>
        <v>0</v>
      </c>
      <c r="I26" s="552">
        <f>Calculations!E1200</f>
        <v>0</v>
      </c>
      <c r="J26" s="552">
        <f>Calculations!E1523-H26-I26</f>
        <v>0</v>
      </c>
      <c r="K26" s="52">
        <v>0</v>
      </c>
      <c r="L26" s="286" t="s">
        <v>49</v>
      </c>
    </row>
    <row r="27" spans="1:12" ht="12" customHeight="1" x14ac:dyDescent="0.2">
      <c r="B27" s="577"/>
      <c r="C27" s="285"/>
      <c r="D27" s="290"/>
      <c r="E27" s="290"/>
      <c r="F27" s="290"/>
      <c r="G27" s="290"/>
      <c r="H27" s="290"/>
      <c r="I27" s="290"/>
      <c r="J27" s="290"/>
      <c r="K27" s="291"/>
      <c r="L27" s="290"/>
    </row>
    <row r="28" spans="1:12" hidden="1" x14ac:dyDescent="0.2">
      <c r="A28" s="292"/>
      <c r="B28" s="577"/>
      <c r="C28" s="285"/>
      <c r="D28" s="290"/>
      <c r="E28" s="290"/>
      <c r="F28" s="290"/>
      <c r="G28" s="290"/>
      <c r="H28" s="290"/>
      <c r="I28" s="290"/>
      <c r="J28" s="290"/>
      <c r="K28" s="291"/>
      <c r="L28" s="290"/>
    </row>
    <row r="29" spans="1:12" ht="12" customHeight="1" x14ac:dyDescent="0.2">
      <c r="A29" s="293"/>
      <c r="B29" s="293"/>
      <c r="C29" s="293"/>
      <c r="D29" s="294" t="s">
        <v>376</v>
      </c>
      <c r="E29" s="295"/>
      <c r="F29" s="296"/>
      <c r="H29" s="297" t="s">
        <v>1326</v>
      </c>
      <c r="I29" s="212"/>
      <c r="J29" s="297"/>
    </row>
    <row r="30" spans="1:12" ht="12" customHeight="1" x14ac:dyDescent="0.2">
      <c r="A30" s="293"/>
      <c r="B30" s="293"/>
      <c r="C30" s="298"/>
      <c r="D30" s="153" t="s">
        <v>377</v>
      </c>
      <c r="E30" s="299"/>
      <c r="F30" s="296"/>
      <c r="H30" s="892" t="s">
        <v>378</v>
      </c>
      <c r="I30" s="892"/>
      <c r="J30" s="893"/>
      <c r="K30" s="52">
        <v>0</v>
      </c>
      <c r="L30" s="300" t="s">
        <v>24</v>
      </c>
    </row>
    <row r="31" spans="1:12" ht="12" customHeight="1" x14ac:dyDescent="0.2">
      <c r="A31" s="293"/>
      <c r="B31" s="293"/>
      <c r="C31" s="298"/>
      <c r="D31" s="153" t="s">
        <v>379</v>
      </c>
      <c r="E31" s="301" t="s">
        <v>380</v>
      </c>
      <c r="F31" s="296"/>
      <c r="H31" s="892" t="s">
        <v>381</v>
      </c>
      <c r="I31" s="892"/>
      <c r="J31" s="893"/>
      <c r="K31" s="52">
        <v>0</v>
      </c>
      <c r="L31" s="300" t="s">
        <v>26</v>
      </c>
    </row>
    <row r="32" spans="1:12" ht="12" customHeight="1" x14ac:dyDescent="0.2">
      <c r="A32" s="293"/>
      <c r="B32" s="293"/>
      <c r="C32" s="298"/>
      <c r="D32" s="302" t="s">
        <v>382</v>
      </c>
      <c r="E32" s="303" t="s">
        <v>361</v>
      </c>
      <c r="F32" s="293"/>
      <c r="H32" s="892" t="s">
        <v>383</v>
      </c>
      <c r="I32" s="892"/>
      <c r="J32" s="893"/>
      <c r="K32" s="52">
        <v>0</v>
      </c>
      <c r="L32" s="300" t="s">
        <v>28</v>
      </c>
    </row>
    <row r="33" spans="1:12" ht="12" customHeight="1" x14ac:dyDescent="0.2">
      <c r="A33" s="894" t="s">
        <v>384</v>
      </c>
      <c r="B33" s="894"/>
      <c r="C33" s="304"/>
      <c r="D33" s="552">
        <f t="array" ref="D33">SUM(SUMIFS('Accounting data'!$G$2:$G$37000,'Accounting data'!$I$2:$I$37000,"7*",'Accounting data'!$J$2:$J$37000,{"1*","2*","3*","4*","5*"},'Accounting data'!$K$2:$K$37000,"6*"))-SUM(SUMIFS('Accounting data'!$G$2:$G$37000,'Accounting data'!$I$2:$I$37000,"7*",'Accounting data'!$J$2:$J$37000,{"1*","2*","3*","4*","5*"},'Accounting data'!$K$2:$K$37000,"67*"))-SUM(SUMIFS('Accounting data'!$G$2:$G$37000,'Accounting data'!$I$2:$I$37000,"7*",'Accounting data'!$J$2:$J$37000,{"1*","2*","3*","4*","5*"},'Accounting data'!$K$2:$K$37000,"69*"))</f>
        <v>0</v>
      </c>
      <c r="E33" s="52">
        <v>0</v>
      </c>
      <c r="F33" s="305" t="s">
        <v>24</v>
      </c>
      <c r="H33" s="154"/>
      <c r="I33" s="154"/>
      <c r="J33" s="154"/>
      <c r="K33" s="306"/>
    </row>
    <row r="34" spans="1:12" ht="12" customHeight="1" x14ac:dyDescent="0.2">
      <c r="A34" s="892" t="s">
        <v>385</v>
      </c>
      <c r="B34" s="892"/>
      <c r="C34" s="578"/>
      <c r="D34" s="552">
        <f t="array" ref="D34">SUM(SUMIFS('Accounting data'!$G$2:$G$37000,'Accounting data'!$I$2:$I$37000,"8*",'Accounting data'!$J$2:$J$37000,{"1*","2*","3*","4*","5*"},'Accounting data'!$K$2:$K$37000,"6*"))-SUM(SUMIFS('Accounting data'!$G$2:$G$37000,'Accounting data'!$I$2:$I$37000,"8*",'Accounting data'!$J$2:$J$37000,{"1*","2*","3*","4*","5*"},'Accounting data'!$K$2:$K$37000,"67*"))-SUM(SUMIFS('Accounting data'!$G$2:$G$37000,'Accounting data'!$I$2:$I$37000,"8*",'Accounting data'!$J$2:$J$37000,{"1*","2*","3*","4*","5*"},'Accounting data'!$K$2:$K$37000,"69*"))</f>
        <v>0</v>
      </c>
      <c r="E34" s="52">
        <v>0</v>
      </c>
      <c r="F34" s="305" t="s">
        <v>26</v>
      </c>
      <c r="H34" s="154"/>
      <c r="I34" s="154"/>
      <c r="J34" s="154"/>
      <c r="K34" s="306"/>
    </row>
    <row r="35" spans="1:12" ht="12" customHeight="1" x14ac:dyDescent="0.2">
      <c r="A35" s="892" t="s">
        <v>386</v>
      </c>
      <c r="B35" s="892"/>
      <c r="C35" s="578"/>
      <c r="D35" s="552">
        <f t="array" ref="D35">SUM(SUMIFS('Accounting data'!$G$2:$G$37000,'Accounting data'!$I$2:$I$37000,"9*",'Accounting data'!$J$2:$J$37000,{"1*","2*","3*","4*","5*"},'Accounting data'!$K$2:$K$37000,"6*"))-SUM(SUMIFS('Accounting data'!$G$2:$G$37000,'Accounting data'!$I$2:$I$37000,"9*",'Accounting data'!$J$2:$J$37000,{"1*","2*","3*","4*","5*"},'Accounting data'!$K$2:$K$37000,"67*"))-SUM(SUMIFS('Accounting data'!$G$2:$G$37000,'Accounting data'!$I$2:$I$37000,"9*",'Accounting data'!$J$2:$J$37000,{"1*","2*","3*","4*","5*"},'Accounting data'!$K$2:$K$37000,"69*"))</f>
        <v>0</v>
      </c>
      <c r="E35" s="52">
        <v>0</v>
      </c>
      <c r="F35" s="305" t="s">
        <v>28</v>
      </c>
      <c r="H35" s="297" t="s">
        <v>387</v>
      </c>
      <c r="I35" s="212"/>
      <c r="J35" s="154"/>
      <c r="K35" s="306"/>
    </row>
    <row r="36" spans="1:12" ht="12" customHeight="1" x14ac:dyDescent="0.2">
      <c r="A36" s="892" t="s">
        <v>388</v>
      </c>
      <c r="B36" s="892"/>
      <c r="C36" s="304"/>
      <c r="D36" s="552">
        <f>Calculations!E1335</f>
        <v>0</v>
      </c>
      <c r="E36" s="52">
        <v>0</v>
      </c>
      <c r="F36" s="289" t="s">
        <v>31</v>
      </c>
      <c r="H36" s="896" t="s">
        <v>1319</v>
      </c>
      <c r="I36" s="896"/>
      <c r="J36" s="897"/>
      <c r="K36" s="52">
        <v>0</v>
      </c>
      <c r="L36" s="300" t="s">
        <v>24</v>
      </c>
    </row>
    <row r="37" spans="1:12" ht="12" customHeight="1" x14ac:dyDescent="0.2">
      <c r="C37" s="300"/>
      <c r="E37" s="157"/>
      <c r="F37" s="305"/>
      <c r="H37" s="896" t="s">
        <v>1320</v>
      </c>
      <c r="I37" s="896"/>
      <c r="J37" s="897"/>
      <c r="K37" s="52">
        <v>0</v>
      </c>
      <c r="L37" s="300" t="s">
        <v>26</v>
      </c>
    </row>
    <row r="38" spans="1:12" ht="12" customHeight="1" x14ac:dyDescent="0.2">
      <c r="C38" s="300"/>
      <c r="E38" s="157"/>
      <c r="F38" s="305"/>
      <c r="H38" s="896" t="s">
        <v>1321</v>
      </c>
      <c r="I38" s="896"/>
      <c r="J38" s="897"/>
      <c r="K38" s="52">
        <v>0</v>
      </c>
      <c r="L38" s="300" t="s">
        <v>28</v>
      </c>
    </row>
    <row r="39" spans="1:12" ht="12" customHeight="1" x14ac:dyDescent="0.2">
      <c r="A39" s="297" t="s">
        <v>389</v>
      </c>
      <c r="B39" s="212"/>
      <c r="E39" s="307" t="s">
        <v>390</v>
      </c>
      <c r="F39"/>
      <c r="H39" s="896" t="s">
        <v>1322</v>
      </c>
      <c r="I39" s="896"/>
      <c r="J39" s="897"/>
      <c r="K39" s="552">
        <f>K36+K37-K38</f>
        <v>0</v>
      </c>
      <c r="L39" s="300" t="s">
        <v>31</v>
      </c>
    </row>
    <row r="40" spans="1:12" ht="12" customHeight="1" x14ac:dyDescent="0.2">
      <c r="A40" s="895" t="s">
        <v>391</v>
      </c>
      <c r="B40" s="803"/>
      <c r="E40" s="54">
        <v>0</v>
      </c>
      <c r="F40" s="218" t="s">
        <v>24</v>
      </c>
      <c r="K40" s="306"/>
    </row>
    <row r="41" spans="1:12" ht="12" customHeight="1" x14ac:dyDescent="0.2">
      <c r="A41" s="803" t="s">
        <v>392</v>
      </c>
      <c r="B41" s="803"/>
      <c r="C41" s="308"/>
      <c r="E41" s="54">
        <v>0</v>
      </c>
      <c r="F41" s="289" t="s">
        <v>26</v>
      </c>
      <c r="H41" s="896" t="s">
        <v>1323</v>
      </c>
      <c r="I41" s="896"/>
      <c r="J41" s="896"/>
      <c r="K41" s="54">
        <v>0</v>
      </c>
      <c r="L41" s="300" t="s">
        <v>33</v>
      </c>
    </row>
    <row r="42" spans="1:12" ht="12" customHeight="1" x14ac:dyDescent="0.2">
      <c r="A42" s="803" t="s">
        <v>393</v>
      </c>
      <c r="B42" s="803"/>
      <c r="C42" s="308"/>
      <c r="E42" s="54">
        <v>0</v>
      </c>
      <c r="F42" s="289" t="s">
        <v>28</v>
      </c>
      <c r="H42" s="896" t="s">
        <v>1324</v>
      </c>
      <c r="I42" s="896"/>
      <c r="J42" s="896"/>
      <c r="K42" s="54">
        <v>0</v>
      </c>
      <c r="L42" s="300" t="s">
        <v>35</v>
      </c>
    </row>
    <row r="43" spans="1:12" ht="12" customHeight="1" x14ac:dyDescent="0.2">
      <c r="A43" s="803" t="s">
        <v>394</v>
      </c>
      <c r="B43" s="803"/>
      <c r="C43" s="308"/>
      <c r="E43" s="54">
        <v>0</v>
      </c>
      <c r="F43" s="289" t="s">
        <v>31</v>
      </c>
      <c r="K43" s="306"/>
    </row>
    <row r="44" spans="1:12" ht="12" customHeight="1" x14ac:dyDescent="0.2">
      <c r="A44" s="803" t="s">
        <v>395</v>
      </c>
      <c r="B44" s="803"/>
      <c r="C44" s="308"/>
      <c r="E44" s="54">
        <v>0</v>
      </c>
      <c r="F44" s="289" t="s">
        <v>33</v>
      </c>
      <c r="H44" s="300"/>
      <c r="I44" s="309"/>
      <c r="J44" s="309"/>
      <c r="K44" s="310"/>
      <c r="L44" s="309"/>
    </row>
    <row r="45" spans="1:12" ht="12" customHeight="1" x14ac:dyDescent="0.2">
      <c r="A45"/>
      <c r="B45"/>
      <c r="C45" s="300"/>
      <c r="E45"/>
      <c r="F45"/>
      <c r="H45" s="297" t="s">
        <v>396</v>
      </c>
      <c r="I45" s="212"/>
      <c r="J45" s="297"/>
      <c r="K45" s="306"/>
    </row>
    <row r="46" spans="1:12" ht="12.75" customHeight="1" x14ac:dyDescent="0.2">
      <c r="E46" s="311"/>
      <c r="H46" s="894" t="s">
        <v>397</v>
      </c>
      <c r="I46" s="894"/>
      <c r="J46" s="901"/>
      <c r="K46" s="52">
        <v>9045</v>
      </c>
      <c r="L46" s="300" t="s">
        <v>24</v>
      </c>
    </row>
    <row r="47" spans="1:12" ht="12.75" customHeight="1" x14ac:dyDescent="0.2">
      <c r="A47" s="312" t="s">
        <v>398</v>
      </c>
      <c r="B47" s="313"/>
      <c r="C47" s="296"/>
      <c r="E47" s="314" t="s">
        <v>351</v>
      </c>
      <c r="H47" s="894" t="s">
        <v>399</v>
      </c>
      <c r="I47" s="894"/>
      <c r="J47" s="901"/>
      <c r="K47" s="52">
        <v>27942</v>
      </c>
      <c r="L47" s="300" t="s">
        <v>26</v>
      </c>
    </row>
    <row r="48" spans="1:12" ht="12.75" customHeight="1" x14ac:dyDescent="0.2">
      <c r="A48" s="577" t="s">
        <v>400</v>
      </c>
      <c r="B48" s="577"/>
      <c r="C48" s="315"/>
      <c r="E48" s="552">
        <f>Calculations!E1082+Calculations!E1449</f>
        <v>0</v>
      </c>
      <c r="F48" s="305" t="s">
        <v>24</v>
      </c>
      <c r="G48" s="577"/>
      <c r="K48" s="306"/>
    </row>
    <row r="49" spans="1:26" ht="12.75" customHeight="1" x14ac:dyDescent="0.2">
      <c r="A49" s="894" t="s">
        <v>401</v>
      </c>
      <c r="B49" s="894"/>
      <c r="C49" s="315"/>
      <c r="E49" s="52">
        <v>0</v>
      </c>
      <c r="F49" s="305" t="s">
        <v>26</v>
      </c>
      <c r="K49" s="306"/>
    </row>
    <row r="50" spans="1:26" ht="12.75" customHeight="1" x14ac:dyDescent="0.2">
      <c r="A50" s="892" t="s">
        <v>402</v>
      </c>
      <c r="B50" s="892"/>
      <c r="E50" s="552">
        <f>Calculations!E1539-Calculations!E1449</f>
        <v>0</v>
      </c>
      <c r="F50" s="316" t="s">
        <v>28</v>
      </c>
      <c r="H50" s="297" t="s">
        <v>403</v>
      </c>
      <c r="I50" s="297"/>
      <c r="K50" s="306"/>
    </row>
    <row r="51" spans="1:26" ht="12.75" customHeight="1" x14ac:dyDescent="0.2">
      <c r="E51" s="157"/>
      <c r="G51" s="317"/>
      <c r="H51" s="157" t="s">
        <v>404</v>
      </c>
      <c r="K51" s="54">
        <v>0</v>
      </c>
      <c r="L51" s="300" t="s">
        <v>24</v>
      </c>
      <c r="Z51" s="515"/>
    </row>
    <row r="52" spans="1:26" ht="12.75" customHeight="1" x14ac:dyDescent="0.2">
      <c r="A52" s="212" t="s">
        <v>405</v>
      </c>
      <c r="B52" s="318"/>
      <c r="C52" s="300"/>
      <c r="E52" s="157"/>
      <c r="G52" s="317"/>
      <c r="H52" s="157" t="s">
        <v>406</v>
      </c>
      <c r="K52" s="54">
        <v>0</v>
      </c>
      <c r="L52" s="300" t="s">
        <v>26</v>
      </c>
      <c r="Z52" s="515"/>
    </row>
    <row r="53" spans="1:26" ht="12.75" customHeight="1" x14ac:dyDescent="0.2">
      <c r="A53" s="154" t="s">
        <v>407</v>
      </c>
      <c r="C53" s="279"/>
      <c r="D53" s="319"/>
      <c r="E53" s="54">
        <v>0</v>
      </c>
      <c r="F53" s="320" t="s">
        <v>24</v>
      </c>
      <c r="G53" s="317"/>
      <c r="H53" s="157" t="s">
        <v>408</v>
      </c>
      <c r="K53" s="54">
        <v>41412</v>
      </c>
      <c r="L53" s="279" t="s">
        <v>28</v>
      </c>
      <c r="Z53" s="515"/>
    </row>
    <row r="54" spans="1:26" ht="12.75" customHeight="1" x14ac:dyDescent="0.2">
      <c r="A54" s="154" t="s">
        <v>409</v>
      </c>
      <c r="C54" s="279"/>
      <c r="D54" s="319"/>
      <c r="E54" s="54">
        <v>0</v>
      </c>
      <c r="F54" s="320" t="s">
        <v>26</v>
      </c>
      <c r="G54" s="317"/>
      <c r="H54" s="157" t="s">
        <v>410</v>
      </c>
      <c r="K54" s="54">
        <v>49531</v>
      </c>
      <c r="L54" s="279" t="s">
        <v>31</v>
      </c>
      <c r="Z54" s="515"/>
    </row>
    <row r="55" spans="1:26" ht="12.75" customHeight="1" x14ac:dyDescent="0.2">
      <c r="A55" s="154" t="s">
        <v>411</v>
      </c>
      <c r="C55" s="279"/>
      <c r="D55" s="319"/>
      <c r="E55" s="54">
        <v>0</v>
      </c>
      <c r="F55" s="320" t="s">
        <v>28</v>
      </c>
      <c r="G55" s="317"/>
      <c r="H55" s="577" t="s">
        <v>412</v>
      </c>
      <c r="I55" s="577"/>
      <c r="J55" s="577"/>
      <c r="K55" s="54">
        <v>43872</v>
      </c>
      <c r="L55" s="279" t="s">
        <v>33</v>
      </c>
      <c r="Z55" s="515"/>
    </row>
    <row r="56" spans="1:26" ht="12.75" customHeight="1" x14ac:dyDescent="0.2">
      <c r="A56" s="154" t="s">
        <v>413</v>
      </c>
      <c r="C56" s="279"/>
      <c r="D56" s="319"/>
      <c r="E56" s="54">
        <v>0</v>
      </c>
      <c r="F56" s="320" t="s">
        <v>31</v>
      </c>
      <c r="H56" s="577" t="s">
        <v>414</v>
      </c>
      <c r="I56" s="577"/>
      <c r="J56" s="577"/>
      <c r="K56" s="54">
        <v>0</v>
      </c>
      <c r="L56" s="279" t="s">
        <v>35</v>
      </c>
      <c r="Z56" s="515"/>
    </row>
    <row r="57" spans="1:26" ht="12.75" customHeight="1" x14ac:dyDescent="0.2">
      <c r="C57" s="321"/>
      <c r="D57" s="319"/>
      <c r="F57" s="264"/>
      <c r="G57" s="317"/>
      <c r="K57" s="306"/>
      <c r="L57" s="279"/>
      <c r="Z57" s="515"/>
    </row>
    <row r="58" spans="1:26" ht="12.6" customHeight="1" x14ac:dyDescent="0.2">
      <c r="G58" s="317"/>
      <c r="H58" s="899" t="s">
        <v>1294</v>
      </c>
      <c r="I58" s="899"/>
      <c r="J58" s="899"/>
      <c r="K58" s="899"/>
      <c r="Z58" s="515"/>
    </row>
    <row r="59" spans="1:26" ht="41.45" customHeight="1" x14ac:dyDescent="0.2">
      <c r="G59" s="317"/>
      <c r="H59" s="900" t="s">
        <v>1289</v>
      </c>
      <c r="I59" s="900"/>
      <c r="J59" s="900"/>
      <c r="K59" s="663">
        <v>54428</v>
      </c>
      <c r="L59" s="279" t="s">
        <v>24</v>
      </c>
      <c r="Z59" s="515"/>
    </row>
    <row r="60" spans="1:26" ht="41.45" customHeight="1" x14ac:dyDescent="0.2">
      <c r="G60" s="317"/>
      <c r="H60" s="900" t="s">
        <v>1290</v>
      </c>
      <c r="I60" s="900"/>
      <c r="J60" s="900"/>
      <c r="K60" s="663">
        <v>0</v>
      </c>
      <c r="L60" s="279" t="s">
        <v>26</v>
      </c>
      <c r="Z60" s="515"/>
    </row>
    <row r="61" spans="1:26" ht="27" customHeight="1" x14ac:dyDescent="0.2">
      <c r="G61" s="317"/>
      <c r="Z61" s="515"/>
    </row>
    <row r="62" spans="1:26" ht="12.75" customHeight="1" x14ac:dyDescent="0.2">
      <c r="H62" s="695" t="s">
        <v>1378</v>
      </c>
      <c r="Z62" s="515"/>
    </row>
    <row r="63" spans="1:26" ht="12.75" customHeight="1" x14ac:dyDescent="0.2">
      <c r="H63" s="898" t="s">
        <v>1295</v>
      </c>
      <c r="I63" s="898"/>
      <c r="J63" s="898"/>
      <c r="K63" s="664">
        <v>68168</v>
      </c>
      <c r="L63" s="680" t="s">
        <v>24</v>
      </c>
      <c r="Z63" s="515"/>
    </row>
    <row r="64" spans="1:26" ht="12.75" customHeight="1" x14ac:dyDescent="0.2">
      <c r="Z64" s="515"/>
    </row>
  </sheetData>
  <sheetProtection sheet="1" formatCells="0" formatColumns="0" formatRows="0"/>
  <mergeCells count="29">
    <mergeCell ref="H63:J63"/>
    <mergeCell ref="H58:K58"/>
    <mergeCell ref="H59:J59"/>
    <mergeCell ref="H60:J60"/>
    <mergeCell ref="H37:J37"/>
    <mergeCell ref="H46:J46"/>
    <mergeCell ref="H47:J47"/>
    <mergeCell ref="H36:J36"/>
    <mergeCell ref="H42:J42"/>
    <mergeCell ref="H41:J41"/>
    <mergeCell ref="H38:J38"/>
    <mergeCell ref="H39:J39"/>
    <mergeCell ref="A50:B50"/>
    <mergeCell ref="A33:B33"/>
    <mergeCell ref="A44:B44"/>
    <mergeCell ref="A40:B40"/>
    <mergeCell ref="A43:B43"/>
    <mergeCell ref="A34:B34"/>
    <mergeCell ref="A49:B49"/>
    <mergeCell ref="A35:B35"/>
    <mergeCell ref="A36:B36"/>
    <mergeCell ref="A41:B41"/>
    <mergeCell ref="A42:B42"/>
    <mergeCell ref="F1:G1"/>
    <mergeCell ref="C4:L4"/>
    <mergeCell ref="D6:K6"/>
    <mergeCell ref="H32:J32"/>
    <mergeCell ref="H30:J30"/>
    <mergeCell ref="H31:J31"/>
  </mergeCells>
  <conditionalFormatting sqref="E33:E36 E49 E53:E56">
    <cfRule type="expression" dxfId="39" priority="8" stopIfTrue="1">
      <formula>$E33=""</formula>
    </cfRule>
  </conditionalFormatting>
  <conditionalFormatting sqref="E40:E44">
    <cfRule type="expression" dxfId="38" priority="4" stopIfTrue="1">
      <formula>$E40=""</formula>
    </cfRule>
  </conditionalFormatting>
  <conditionalFormatting sqref="K11 K13:K19 K21:K22 K24:K26 K30:K32 K36:K38 K41:K42 K46:K47 K51:K56 K59:K60">
    <cfRule type="expression" dxfId="37" priority="7" stopIfTrue="1">
      <formula>$K11=""</formula>
    </cfRule>
  </conditionalFormatting>
  <conditionalFormatting sqref="K63">
    <cfRule type="expression" dxfId="36" priority="1" stopIfTrue="1">
      <formula>$K63=""</formula>
    </cfRule>
  </conditionalFormatting>
  <dataValidations count="2">
    <dataValidation allowBlank="1" showInputMessage="1" showErrorMessage="1" prompt="This amount has been adjusted to include federal food service revenue amounts included on the FS AFR." sqref="G24" xr:uid="{00000000-0002-0000-0A00-000000000000}"/>
    <dataValidation allowBlank="1" showInputMessage="1" showErrorMessage="1" prompt="This amount has been adjusted to exclude federal food service revenue amounts included on the FS AFR. If the amount is negative, refer to the General instructions for Page 10." sqref="G25" xr:uid="{00000000-0002-0000-0A00-000001000000}"/>
  </dataValidations>
  <hyperlinks>
    <hyperlink ref="E31:E32" location="PropertyDisbursements" display="Property " xr:uid="{00000000-0004-0000-0A00-000000000000}"/>
    <hyperlink ref="A39:B39" location="PropertyDisbursementsByType" display="Property Disbursements by Type" xr:uid="{00000000-0004-0000-0A00-000001000000}"/>
    <hyperlink ref="A47" location="DebtService" display="Debt Service" xr:uid="{00000000-0004-0000-0A00-000002000000}"/>
    <hyperlink ref="H35" location="DebtService" display="Debt Service" xr:uid="{00000000-0004-0000-0A00-000003000000}"/>
    <hyperlink ref="H45" location="DebtService" display="Debt Service" xr:uid="{00000000-0004-0000-0A00-000004000000}"/>
    <hyperlink ref="H35:I35" location="LongandShortTermDebt" display="Long-term and Short-term Debt" xr:uid="{00000000-0004-0000-0A00-000005000000}"/>
    <hyperlink ref="H45:J45" location="UtilitiesandEnergyServices" display="Utilities and Energy Detail (Function 2600)" xr:uid="{00000000-0004-0000-0A00-000006000000}"/>
    <hyperlink ref="H50" location="TechnologyDetail" display="Technology" xr:uid="{00000000-0004-0000-0A00-000007000000}"/>
    <hyperlink ref="H29:J29" location="CashandInvestments" display="Cash and Investments held at June 30, 2017" xr:uid="{00000000-0004-0000-0A00-000008000000}"/>
    <hyperlink ref="K9:K10" location="PropertyDisbursements" display="Property" xr:uid="{00000000-0004-0000-0A00-000009000000}"/>
    <hyperlink ref="A52:B52" location="Revenue_From_Selected_Federal_Sources" display="Revenue from selected federal sources " xr:uid="{00000000-0004-0000-0A00-00000A000000}"/>
    <hyperlink ref="H58" location="SupportServicesInstructionDetail" display="Support services-instruction detail" xr:uid="{00000000-0004-0000-0A00-00000B000000}"/>
    <hyperlink ref="B5" location="GeneralPage10" display="Instructions" xr:uid="{E1591FB8-69FB-41E2-828E-BC739B4F460B}"/>
  </hyperlinks>
  <pageMargins left="0.7" right="0.7" top="0.75" bottom="0.75" header="0.3" footer="0.3"/>
  <pageSetup paperSize="5" scale="61" orientation="landscape" verticalDpi="598" r:id="rId1"/>
  <headerFooter>
    <oddFooter>&amp;LRev. 8/25 Arizona Department of Education and Auditor General&amp;CFY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9292-990F-4161-9B89-C3CD151F6C38}">
  <sheetPr>
    <pageSetUpPr fitToPage="1"/>
  </sheetPr>
  <dimension ref="A1:AV49"/>
  <sheetViews>
    <sheetView showGridLines="0" topLeftCell="A31" workbookViewId="0">
      <selection activeCell="D43" sqref="D43"/>
    </sheetView>
  </sheetViews>
  <sheetFormatPr defaultColWidth="9" defaultRowHeight="12.75" x14ac:dyDescent="0.2"/>
  <cols>
    <col min="1" max="1" width="48.33203125" style="323" customWidth="1"/>
    <col min="2" max="2" width="2.83203125" style="323" customWidth="1"/>
    <col min="3" max="3" width="35.33203125" style="323" customWidth="1"/>
    <col min="4" max="4" width="13.83203125" style="323" bestFit="1" customWidth="1"/>
    <col min="5" max="5" width="15.33203125" style="323" customWidth="1"/>
    <col min="6" max="6" width="14.1640625" style="323" customWidth="1"/>
    <col min="7" max="7" width="15.1640625" style="323" customWidth="1"/>
    <col min="8" max="8" width="13.33203125" style="324" customWidth="1"/>
    <col min="9" max="9" width="17.33203125" style="324" customWidth="1"/>
    <col min="10" max="10" width="15.1640625" style="324" customWidth="1"/>
    <col min="11" max="11" width="20.33203125" style="324" customWidth="1"/>
    <col min="12" max="12" width="16" style="323" customWidth="1"/>
    <col min="13" max="13" width="16.83203125" style="323" customWidth="1"/>
    <col min="14" max="14" width="16" style="323" customWidth="1"/>
    <col min="15" max="15" width="14.83203125" style="323" customWidth="1"/>
    <col min="16" max="16" width="9.33203125" style="323" customWidth="1"/>
    <col min="17" max="17" width="14.83203125" style="323" customWidth="1"/>
    <col min="18" max="21" width="9" style="329" customWidth="1"/>
    <col min="22" max="26" width="9" style="330" customWidth="1"/>
    <col min="27" max="27" width="8.1640625" style="330" bestFit="1" customWidth="1"/>
    <col min="28" max="29" width="9" style="330" customWidth="1"/>
    <col min="30" max="34" width="10.33203125" style="331" customWidth="1"/>
    <col min="35" max="35" width="9" style="331" customWidth="1"/>
    <col min="36" max="48" width="9" style="329" customWidth="1"/>
    <col min="49" max="256" width="9" style="323" customWidth="1"/>
    <col min="257" max="257" width="60.33203125" style="323" customWidth="1"/>
    <col min="258" max="258" width="2.83203125" style="323" customWidth="1"/>
    <col min="259" max="259" width="14.83203125" style="323" customWidth="1"/>
    <col min="260" max="260" width="13.83203125" style="323" bestFit="1" customWidth="1"/>
    <col min="261" max="261" width="15.33203125" style="323" customWidth="1"/>
    <col min="262" max="262" width="14.1640625" style="323" customWidth="1"/>
    <col min="263" max="263" width="15.1640625" style="323" customWidth="1"/>
    <col min="264" max="264" width="13.33203125" style="323" customWidth="1"/>
    <col min="265" max="265" width="17.33203125" style="323" customWidth="1"/>
    <col min="266" max="266" width="15.1640625" style="323" customWidth="1"/>
    <col min="267" max="267" width="19.6640625" style="323" customWidth="1"/>
    <col min="268" max="270" width="16" style="323" customWidth="1"/>
    <col min="271" max="271" width="14.83203125" style="323" customWidth="1"/>
    <col min="272" max="272" width="17.33203125" style="323" customWidth="1"/>
    <col min="273" max="273" width="14.83203125" style="323" customWidth="1"/>
    <col min="274" max="282" width="9" style="323" customWidth="1"/>
    <col min="283" max="283" width="7.1640625" style="323" bestFit="1" customWidth="1"/>
    <col min="284" max="285" width="9" style="323" customWidth="1"/>
    <col min="286" max="290" width="10.33203125" style="323" customWidth="1"/>
    <col min="291" max="512" width="9" style="323" customWidth="1"/>
    <col min="513" max="513" width="60.33203125" style="323" customWidth="1"/>
    <col min="514" max="514" width="2.83203125" style="323" customWidth="1"/>
    <col min="515" max="515" width="14.83203125" style="323" customWidth="1"/>
    <col min="516" max="516" width="13.83203125" style="323" bestFit="1" customWidth="1"/>
    <col min="517" max="517" width="15.33203125" style="323" customWidth="1"/>
    <col min="518" max="518" width="14.1640625" style="323" customWidth="1"/>
    <col min="519" max="519" width="15.1640625" style="323" customWidth="1"/>
    <col min="520" max="520" width="13.33203125" style="323" customWidth="1"/>
    <col min="521" max="521" width="17.33203125" style="323" customWidth="1"/>
    <col min="522" max="522" width="15.1640625" style="323" customWidth="1"/>
    <col min="523" max="523" width="19.6640625" style="323" customWidth="1"/>
    <col min="524" max="526" width="16" style="323" customWidth="1"/>
    <col min="527" max="527" width="14.83203125" style="323" customWidth="1"/>
    <col min="528" max="528" width="17.33203125" style="323" customWidth="1"/>
    <col min="529" max="529" width="14.83203125" style="323" customWidth="1"/>
    <col min="530" max="538" width="9" style="323" customWidth="1"/>
    <col min="539" max="539" width="7.1640625" style="323" bestFit="1" customWidth="1"/>
    <col min="540" max="541" width="9" style="323" customWidth="1"/>
    <col min="542" max="546" width="10.33203125" style="323" customWidth="1"/>
    <col min="547" max="768" width="9" style="323" customWidth="1"/>
    <col min="769" max="769" width="60.33203125" style="323" customWidth="1"/>
    <col min="770" max="770" width="2.83203125" style="323" customWidth="1"/>
    <col min="771" max="771" width="14.83203125" style="323" customWidth="1"/>
    <col min="772" max="772" width="13.83203125" style="323" bestFit="1" customWidth="1"/>
    <col min="773" max="773" width="15.33203125" style="323" customWidth="1"/>
    <col min="774" max="774" width="14.1640625" style="323" customWidth="1"/>
    <col min="775" max="775" width="15.1640625" style="323" customWidth="1"/>
    <col min="776" max="776" width="13.33203125" style="323" customWidth="1"/>
    <col min="777" max="777" width="17.33203125" style="323" customWidth="1"/>
    <col min="778" max="778" width="15.1640625" style="323" customWidth="1"/>
    <col min="779" max="779" width="19.6640625" style="323" customWidth="1"/>
    <col min="780" max="782" width="16" style="323" customWidth="1"/>
    <col min="783" max="783" width="14.83203125" style="323" customWidth="1"/>
    <col min="784" max="784" width="17.33203125" style="323" customWidth="1"/>
    <col min="785" max="785" width="14.83203125" style="323" customWidth="1"/>
    <col min="786" max="794" width="9" style="323" customWidth="1"/>
    <col min="795" max="795" width="7.1640625" style="323" bestFit="1" customWidth="1"/>
    <col min="796" max="797" width="9" style="323" customWidth="1"/>
    <col min="798" max="802" width="10.33203125" style="323" customWidth="1"/>
    <col min="803" max="1024" width="9" style="323" customWidth="1"/>
    <col min="1025" max="1025" width="60.33203125" style="323" customWidth="1"/>
    <col min="1026" max="1026" width="2.83203125" style="323" customWidth="1"/>
    <col min="1027" max="1027" width="14.83203125" style="323" customWidth="1"/>
    <col min="1028" max="1028" width="13.83203125" style="323" bestFit="1" customWidth="1"/>
    <col min="1029" max="1029" width="15.33203125" style="323" customWidth="1"/>
    <col min="1030" max="1030" width="14.1640625" style="323" customWidth="1"/>
    <col min="1031" max="1031" width="15.1640625" style="323" customWidth="1"/>
    <col min="1032" max="1032" width="13.33203125" style="323" customWidth="1"/>
    <col min="1033" max="1033" width="17.33203125" style="323" customWidth="1"/>
    <col min="1034" max="1034" width="15.1640625" style="323" customWidth="1"/>
    <col min="1035" max="1035" width="19.6640625" style="323" customWidth="1"/>
    <col min="1036" max="1038" width="16" style="323" customWidth="1"/>
    <col min="1039" max="1039" width="14.83203125" style="323" customWidth="1"/>
    <col min="1040" max="1040" width="17.33203125" style="323" customWidth="1"/>
    <col min="1041" max="1041" width="14.83203125" style="323" customWidth="1"/>
    <col min="1042" max="1050" width="9" style="323" customWidth="1"/>
    <col min="1051" max="1051" width="7.1640625" style="323" bestFit="1" customWidth="1"/>
    <col min="1052" max="1053" width="9" style="323" customWidth="1"/>
    <col min="1054" max="1058" width="10.33203125" style="323" customWidth="1"/>
    <col min="1059" max="1280" width="9" style="323" customWidth="1"/>
    <col min="1281" max="1281" width="60.33203125" style="323" customWidth="1"/>
    <col min="1282" max="1282" width="2.83203125" style="323" customWidth="1"/>
    <col min="1283" max="1283" width="14.83203125" style="323" customWidth="1"/>
    <col min="1284" max="1284" width="13.83203125" style="323" bestFit="1" customWidth="1"/>
    <col min="1285" max="1285" width="15.33203125" style="323" customWidth="1"/>
    <col min="1286" max="1286" width="14.1640625" style="323" customWidth="1"/>
    <col min="1287" max="1287" width="15.1640625" style="323" customWidth="1"/>
    <col min="1288" max="1288" width="13.33203125" style="323" customWidth="1"/>
    <col min="1289" max="1289" width="17.33203125" style="323" customWidth="1"/>
    <col min="1290" max="1290" width="15.1640625" style="323" customWidth="1"/>
    <col min="1291" max="1291" width="19.6640625" style="323" customWidth="1"/>
    <col min="1292" max="1294" width="16" style="323" customWidth="1"/>
    <col min="1295" max="1295" width="14.83203125" style="323" customWidth="1"/>
    <col min="1296" max="1296" width="17.33203125" style="323" customWidth="1"/>
    <col min="1297" max="1297" width="14.83203125" style="323" customWidth="1"/>
    <col min="1298" max="1306" width="9" style="323" customWidth="1"/>
    <col min="1307" max="1307" width="7.1640625" style="323" bestFit="1" customWidth="1"/>
    <col min="1308" max="1309" width="9" style="323" customWidth="1"/>
    <col min="1310" max="1314" width="10.33203125" style="323" customWidth="1"/>
    <col min="1315" max="1536" width="9" style="323" customWidth="1"/>
    <col min="1537" max="1537" width="60.33203125" style="323" customWidth="1"/>
    <col min="1538" max="1538" width="2.83203125" style="323" customWidth="1"/>
    <col min="1539" max="1539" width="14.83203125" style="323" customWidth="1"/>
    <col min="1540" max="1540" width="13.83203125" style="323" bestFit="1" customWidth="1"/>
    <col min="1541" max="1541" width="15.33203125" style="323" customWidth="1"/>
    <col min="1542" max="1542" width="14.1640625" style="323" customWidth="1"/>
    <col min="1543" max="1543" width="15.1640625" style="323" customWidth="1"/>
    <col min="1544" max="1544" width="13.33203125" style="323" customWidth="1"/>
    <col min="1545" max="1545" width="17.33203125" style="323" customWidth="1"/>
    <col min="1546" max="1546" width="15.1640625" style="323" customWidth="1"/>
    <col min="1547" max="1547" width="19.6640625" style="323" customWidth="1"/>
    <col min="1548" max="1550" width="16" style="323" customWidth="1"/>
    <col min="1551" max="1551" width="14.83203125" style="323" customWidth="1"/>
    <col min="1552" max="1552" width="17.33203125" style="323" customWidth="1"/>
    <col min="1553" max="1553" width="14.83203125" style="323" customWidth="1"/>
    <col min="1554" max="1562" width="9" style="323" customWidth="1"/>
    <col min="1563" max="1563" width="7.1640625" style="323" bestFit="1" customWidth="1"/>
    <col min="1564" max="1565" width="9" style="323" customWidth="1"/>
    <col min="1566" max="1570" width="10.33203125" style="323" customWidth="1"/>
    <col min="1571" max="1792" width="9" style="323" customWidth="1"/>
    <col min="1793" max="1793" width="60.33203125" style="323" customWidth="1"/>
    <col min="1794" max="1794" width="2.83203125" style="323" customWidth="1"/>
    <col min="1795" max="1795" width="14.83203125" style="323" customWidth="1"/>
    <col min="1796" max="1796" width="13.83203125" style="323" bestFit="1" customWidth="1"/>
    <col min="1797" max="1797" width="15.33203125" style="323" customWidth="1"/>
    <col min="1798" max="1798" width="14.1640625" style="323" customWidth="1"/>
    <col min="1799" max="1799" width="15.1640625" style="323" customWidth="1"/>
    <col min="1800" max="1800" width="13.33203125" style="323" customWidth="1"/>
    <col min="1801" max="1801" width="17.33203125" style="323" customWidth="1"/>
    <col min="1802" max="1802" width="15.1640625" style="323" customWidth="1"/>
    <col min="1803" max="1803" width="19.6640625" style="323" customWidth="1"/>
    <col min="1804" max="1806" width="16" style="323" customWidth="1"/>
    <col min="1807" max="1807" width="14.83203125" style="323" customWidth="1"/>
    <col min="1808" max="1808" width="17.33203125" style="323" customWidth="1"/>
    <col min="1809" max="1809" width="14.83203125" style="323" customWidth="1"/>
    <col min="1810" max="1818" width="9" style="323" customWidth="1"/>
    <col min="1819" max="1819" width="7.1640625" style="323" bestFit="1" customWidth="1"/>
    <col min="1820" max="1821" width="9" style="323" customWidth="1"/>
    <col min="1822" max="1826" width="10.33203125" style="323" customWidth="1"/>
    <col min="1827" max="2048" width="9" style="323" customWidth="1"/>
    <col min="2049" max="2049" width="60.33203125" style="323" customWidth="1"/>
    <col min="2050" max="2050" width="2.83203125" style="323" customWidth="1"/>
    <col min="2051" max="2051" width="14.83203125" style="323" customWidth="1"/>
    <col min="2052" max="2052" width="13.83203125" style="323" bestFit="1" customWidth="1"/>
    <col min="2053" max="2053" width="15.33203125" style="323" customWidth="1"/>
    <col min="2054" max="2054" width="14.1640625" style="323" customWidth="1"/>
    <col min="2055" max="2055" width="15.1640625" style="323" customWidth="1"/>
    <col min="2056" max="2056" width="13.33203125" style="323" customWidth="1"/>
    <col min="2057" max="2057" width="17.33203125" style="323" customWidth="1"/>
    <col min="2058" max="2058" width="15.1640625" style="323" customWidth="1"/>
    <col min="2059" max="2059" width="19.6640625" style="323" customWidth="1"/>
    <col min="2060" max="2062" width="16" style="323" customWidth="1"/>
    <col min="2063" max="2063" width="14.83203125" style="323" customWidth="1"/>
    <col min="2064" max="2064" width="17.33203125" style="323" customWidth="1"/>
    <col min="2065" max="2065" width="14.83203125" style="323" customWidth="1"/>
    <col min="2066" max="2074" width="9" style="323" customWidth="1"/>
    <col min="2075" max="2075" width="7.1640625" style="323" bestFit="1" customWidth="1"/>
    <col min="2076" max="2077" width="9" style="323" customWidth="1"/>
    <col min="2078" max="2082" width="10.33203125" style="323" customWidth="1"/>
    <col min="2083" max="2304" width="9" style="323" customWidth="1"/>
    <col min="2305" max="2305" width="60.33203125" style="323" customWidth="1"/>
    <col min="2306" max="2306" width="2.83203125" style="323" customWidth="1"/>
    <col min="2307" max="2307" width="14.83203125" style="323" customWidth="1"/>
    <col min="2308" max="2308" width="13.83203125" style="323" bestFit="1" customWidth="1"/>
    <col min="2309" max="2309" width="15.33203125" style="323" customWidth="1"/>
    <col min="2310" max="2310" width="14.1640625" style="323" customWidth="1"/>
    <col min="2311" max="2311" width="15.1640625" style="323" customWidth="1"/>
    <col min="2312" max="2312" width="13.33203125" style="323" customWidth="1"/>
    <col min="2313" max="2313" width="17.33203125" style="323" customWidth="1"/>
    <col min="2314" max="2314" width="15.1640625" style="323" customWidth="1"/>
    <col min="2315" max="2315" width="19.6640625" style="323" customWidth="1"/>
    <col min="2316" max="2318" width="16" style="323" customWidth="1"/>
    <col min="2319" max="2319" width="14.83203125" style="323" customWidth="1"/>
    <col min="2320" max="2320" width="17.33203125" style="323" customWidth="1"/>
    <col min="2321" max="2321" width="14.83203125" style="323" customWidth="1"/>
    <col min="2322" max="2330" width="9" style="323" customWidth="1"/>
    <col min="2331" max="2331" width="7.1640625" style="323" bestFit="1" customWidth="1"/>
    <col min="2332" max="2333" width="9" style="323" customWidth="1"/>
    <col min="2334" max="2338" width="10.33203125" style="323" customWidth="1"/>
    <col min="2339" max="2560" width="9" style="323" customWidth="1"/>
    <col min="2561" max="2561" width="60.33203125" style="323" customWidth="1"/>
    <col min="2562" max="2562" width="2.83203125" style="323" customWidth="1"/>
    <col min="2563" max="2563" width="14.83203125" style="323" customWidth="1"/>
    <col min="2564" max="2564" width="13.83203125" style="323" bestFit="1" customWidth="1"/>
    <col min="2565" max="2565" width="15.33203125" style="323" customWidth="1"/>
    <col min="2566" max="2566" width="14.1640625" style="323" customWidth="1"/>
    <col min="2567" max="2567" width="15.1640625" style="323" customWidth="1"/>
    <col min="2568" max="2568" width="13.33203125" style="323" customWidth="1"/>
    <col min="2569" max="2569" width="17.33203125" style="323" customWidth="1"/>
    <col min="2570" max="2570" width="15.1640625" style="323" customWidth="1"/>
    <col min="2571" max="2571" width="19.6640625" style="323" customWidth="1"/>
    <col min="2572" max="2574" width="16" style="323" customWidth="1"/>
    <col min="2575" max="2575" width="14.83203125" style="323" customWidth="1"/>
    <col min="2576" max="2576" width="17.33203125" style="323" customWidth="1"/>
    <col min="2577" max="2577" width="14.83203125" style="323" customWidth="1"/>
    <col min="2578" max="2586" width="9" style="323" customWidth="1"/>
    <col min="2587" max="2587" width="7.1640625" style="323" bestFit="1" customWidth="1"/>
    <col min="2588" max="2589" width="9" style="323" customWidth="1"/>
    <col min="2590" max="2594" width="10.33203125" style="323" customWidth="1"/>
    <col min="2595" max="2816" width="9" style="323" customWidth="1"/>
    <col min="2817" max="2817" width="60.33203125" style="323" customWidth="1"/>
    <col min="2818" max="2818" width="2.83203125" style="323" customWidth="1"/>
    <col min="2819" max="2819" width="14.83203125" style="323" customWidth="1"/>
    <col min="2820" max="2820" width="13.83203125" style="323" bestFit="1" customWidth="1"/>
    <col min="2821" max="2821" width="15.33203125" style="323" customWidth="1"/>
    <col min="2822" max="2822" width="14.1640625" style="323" customWidth="1"/>
    <col min="2823" max="2823" width="15.1640625" style="323" customWidth="1"/>
    <col min="2824" max="2824" width="13.33203125" style="323" customWidth="1"/>
    <col min="2825" max="2825" width="17.33203125" style="323" customWidth="1"/>
    <col min="2826" max="2826" width="15.1640625" style="323" customWidth="1"/>
    <col min="2827" max="2827" width="19.6640625" style="323" customWidth="1"/>
    <col min="2828" max="2830" width="16" style="323" customWidth="1"/>
    <col min="2831" max="2831" width="14.83203125" style="323" customWidth="1"/>
    <col min="2832" max="2832" width="17.33203125" style="323" customWidth="1"/>
    <col min="2833" max="2833" width="14.83203125" style="323" customWidth="1"/>
    <col min="2834" max="2842" width="9" style="323" customWidth="1"/>
    <col min="2843" max="2843" width="7.1640625" style="323" bestFit="1" customWidth="1"/>
    <col min="2844" max="2845" width="9" style="323" customWidth="1"/>
    <col min="2846" max="2850" width="10.33203125" style="323" customWidth="1"/>
    <col min="2851" max="3072" width="9" style="323" customWidth="1"/>
    <col min="3073" max="3073" width="60.33203125" style="323" customWidth="1"/>
    <col min="3074" max="3074" width="2.83203125" style="323" customWidth="1"/>
    <col min="3075" max="3075" width="14.83203125" style="323" customWidth="1"/>
    <col min="3076" max="3076" width="13.83203125" style="323" bestFit="1" customWidth="1"/>
    <col min="3077" max="3077" width="15.33203125" style="323" customWidth="1"/>
    <col min="3078" max="3078" width="14.1640625" style="323" customWidth="1"/>
    <col min="3079" max="3079" width="15.1640625" style="323" customWidth="1"/>
    <col min="3080" max="3080" width="13.33203125" style="323" customWidth="1"/>
    <col min="3081" max="3081" width="17.33203125" style="323" customWidth="1"/>
    <col min="3082" max="3082" width="15.1640625" style="323" customWidth="1"/>
    <col min="3083" max="3083" width="19.6640625" style="323" customWidth="1"/>
    <col min="3084" max="3086" width="16" style="323" customWidth="1"/>
    <col min="3087" max="3087" width="14.83203125" style="323" customWidth="1"/>
    <col min="3088" max="3088" width="17.33203125" style="323" customWidth="1"/>
    <col min="3089" max="3089" width="14.83203125" style="323" customWidth="1"/>
    <col min="3090" max="3098" width="9" style="323" customWidth="1"/>
    <col min="3099" max="3099" width="7.1640625" style="323" bestFit="1" customWidth="1"/>
    <col min="3100" max="3101" width="9" style="323" customWidth="1"/>
    <col min="3102" max="3106" width="10.33203125" style="323" customWidth="1"/>
    <col min="3107" max="3328" width="9" style="323" customWidth="1"/>
    <col min="3329" max="3329" width="60.33203125" style="323" customWidth="1"/>
    <col min="3330" max="3330" width="2.83203125" style="323" customWidth="1"/>
    <col min="3331" max="3331" width="14.83203125" style="323" customWidth="1"/>
    <col min="3332" max="3332" width="13.83203125" style="323" bestFit="1" customWidth="1"/>
    <col min="3333" max="3333" width="15.33203125" style="323" customWidth="1"/>
    <col min="3334" max="3334" width="14.1640625" style="323" customWidth="1"/>
    <col min="3335" max="3335" width="15.1640625" style="323" customWidth="1"/>
    <col min="3336" max="3336" width="13.33203125" style="323" customWidth="1"/>
    <col min="3337" max="3337" width="17.33203125" style="323" customWidth="1"/>
    <col min="3338" max="3338" width="15.1640625" style="323" customWidth="1"/>
    <col min="3339" max="3339" width="19.6640625" style="323" customWidth="1"/>
    <col min="3340" max="3342" width="16" style="323" customWidth="1"/>
    <col min="3343" max="3343" width="14.83203125" style="323" customWidth="1"/>
    <col min="3344" max="3344" width="17.33203125" style="323" customWidth="1"/>
    <col min="3345" max="3345" width="14.83203125" style="323" customWidth="1"/>
    <col min="3346" max="3354" width="9" style="323" customWidth="1"/>
    <col min="3355" max="3355" width="7.1640625" style="323" bestFit="1" customWidth="1"/>
    <col min="3356" max="3357" width="9" style="323" customWidth="1"/>
    <col min="3358" max="3362" width="10.33203125" style="323" customWidth="1"/>
    <col min="3363" max="3584" width="9" style="323" customWidth="1"/>
    <col min="3585" max="3585" width="60.33203125" style="323" customWidth="1"/>
    <col min="3586" max="3586" width="2.83203125" style="323" customWidth="1"/>
    <col min="3587" max="3587" width="14.83203125" style="323" customWidth="1"/>
    <col min="3588" max="3588" width="13.83203125" style="323" bestFit="1" customWidth="1"/>
    <col min="3589" max="3589" width="15.33203125" style="323" customWidth="1"/>
    <col min="3590" max="3590" width="14.1640625" style="323" customWidth="1"/>
    <col min="3591" max="3591" width="15.1640625" style="323" customWidth="1"/>
    <col min="3592" max="3592" width="13.33203125" style="323" customWidth="1"/>
    <col min="3593" max="3593" width="17.33203125" style="323" customWidth="1"/>
    <col min="3594" max="3594" width="15.1640625" style="323" customWidth="1"/>
    <col min="3595" max="3595" width="19.6640625" style="323" customWidth="1"/>
    <col min="3596" max="3598" width="16" style="323" customWidth="1"/>
    <col min="3599" max="3599" width="14.83203125" style="323" customWidth="1"/>
    <col min="3600" max="3600" width="17.33203125" style="323" customWidth="1"/>
    <col min="3601" max="3601" width="14.83203125" style="323" customWidth="1"/>
    <col min="3602" max="3610" width="9" style="323" customWidth="1"/>
    <col min="3611" max="3611" width="7.1640625" style="323" bestFit="1" customWidth="1"/>
    <col min="3612" max="3613" width="9" style="323" customWidth="1"/>
    <col min="3614" max="3618" width="10.33203125" style="323" customWidth="1"/>
    <col min="3619" max="3840" width="9" style="323" customWidth="1"/>
    <col min="3841" max="3841" width="60.33203125" style="323" customWidth="1"/>
    <col min="3842" max="3842" width="2.83203125" style="323" customWidth="1"/>
    <col min="3843" max="3843" width="14.83203125" style="323" customWidth="1"/>
    <col min="3844" max="3844" width="13.83203125" style="323" bestFit="1" customWidth="1"/>
    <col min="3845" max="3845" width="15.33203125" style="323" customWidth="1"/>
    <col min="3846" max="3846" width="14.1640625" style="323" customWidth="1"/>
    <col min="3847" max="3847" width="15.1640625" style="323" customWidth="1"/>
    <col min="3848" max="3848" width="13.33203125" style="323" customWidth="1"/>
    <col min="3849" max="3849" width="17.33203125" style="323" customWidth="1"/>
    <col min="3850" max="3850" width="15.1640625" style="323" customWidth="1"/>
    <col min="3851" max="3851" width="19.6640625" style="323" customWidth="1"/>
    <col min="3852" max="3854" width="16" style="323" customWidth="1"/>
    <col min="3855" max="3855" width="14.83203125" style="323" customWidth="1"/>
    <col min="3856" max="3856" width="17.33203125" style="323" customWidth="1"/>
    <col min="3857" max="3857" width="14.83203125" style="323" customWidth="1"/>
    <col min="3858" max="3866" width="9" style="323" customWidth="1"/>
    <col min="3867" max="3867" width="7.1640625" style="323" bestFit="1" customWidth="1"/>
    <col min="3868" max="3869" width="9" style="323" customWidth="1"/>
    <col min="3870" max="3874" width="10.33203125" style="323" customWidth="1"/>
    <col min="3875" max="4096" width="9" style="323" customWidth="1"/>
    <col min="4097" max="4097" width="60.33203125" style="323" customWidth="1"/>
    <col min="4098" max="4098" width="2.83203125" style="323" customWidth="1"/>
    <col min="4099" max="4099" width="14.83203125" style="323" customWidth="1"/>
    <col min="4100" max="4100" width="13.83203125" style="323" bestFit="1" customWidth="1"/>
    <col min="4101" max="4101" width="15.33203125" style="323" customWidth="1"/>
    <col min="4102" max="4102" width="14.1640625" style="323" customWidth="1"/>
    <col min="4103" max="4103" width="15.1640625" style="323" customWidth="1"/>
    <col min="4104" max="4104" width="13.33203125" style="323" customWidth="1"/>
    <col min="4105" max="4105" width="17.33203125" style="323" customWidth="1"/>
    <col min="4106" max="4106" width="15.1640625" style="323" customWidth="1"/>
    <col min="4107" max="4107" width="19.6640625" style="323" customWidth="1"/>
    <col min="4108" max="4110" width="16" style="323" customWidth="1"/>
    <col min="4111" max="4111" width="14.83203125" style="323" customWidth="1"/>
    <col min="4112" max="4112" width="17.33203125" style="323" customWidth="1"/>
    <col min="4113" max="4113" width="14.83203125" style="323" customWidth="1"/>
    <col min="4114" max="4122" width="9" style="323" customWidth="1"/>
    <col min="4123" max="4123" width="7.1640625" style="323" bestFit="1" customWidth="1"/>
    <col min="4124" max="4125" width="9" style="323" customWidth="1"/>
    <col min="4126" max="4130" width="10.33203125" style="323" customWidth="1"/>
    <col min="4131" max="4352" width="9" style="323" customWidth="1"/>
    <col min="4353" max="4353" width="60.33203125" style="323" customWidth="1"/>
    <col min="4354" max="4354" width="2.83203125" style="323" customWidth="1"/>
    <col min="4355" max="4355" width="14.83203125" style="323" customWidth="1"/>
    <col min="4356" max="4356" width="13.83203125" style="323" bestFit="1" customWidth="1"/>
    <col min="4357" max="4357" width="15.33203125" style="323" customWidth="1"/>
    <col min="4358" max="4358" width="14.1640625" style="323" customWidth="1"/>
    <col min="4359" max="4359" width="15.1640625" style="323" customWidth="1"/>
    <col min="4360" max="4360" width="13.33203125" style="323" customWidth="1"/>
    <col min="4361" max="4361" width="17.33203125" style="323" customWidth="1"/>
    <col min="4362" max="4362" width="15.1640625" style="323" customWidth="1"/>
    <col min="4363" max="4363" width="19.6640625" style="323" customWidth="1"/>
    <col min="4364" max="4366" width="16" style="323" customWidth="1"/>
    <col min="4367" max="4367" width="14.83203125" style="323" customWidth="1"/>
    <col min="4368" max="4368" width="17.33203125" style="323" customWidth="1"/>
    <col min="4369" max="4369" width="14.83203125" style="323" customWidth="1"/>
    <col min="4370" max="4378" width="9" style="323" customWidth="1"/>
    <col min="4379" max="4379" width="7.1640625" style="323" bestFit="1" customWidth="1"/>
    <col min="4380" max="4381" width="9" style="323" customWidth="1"/>
    <col min="4382" max="4386" width="10.33203125" style="323" customWidth="1"/>
    <col min="4387" max="4608" width="9" style="323" customWidth="1"/>
    <col min="4609" max="4609" width="60.33203125" style="323" customWidth="1"/>
    <col min="4610" max="4610" width="2.83203125" style="323" customWidth="1"/>
    <col min="4611" max="4611" width="14.83203125" style="323" customWidth="1"/>
    <col min="4612" max="4612" width="13.83203125" style="323" bestFit="1" customWidth="1"/>
    <col min="4613" max="4613" width="15.33203125" style="323" customWidth="1"/>
    <col min="4614" max="4614" width="14.1640625" style="323" customWidth="1"/>
    <col min="4615" max="4615" width="15.1640625" style="323" customWidth="1"/>
    <col min="4616" max="4616" width="13.33203125" style="323" customWidth="1"/>
    <col min="4617" max="4617" width="17.33203125" style="323" customWidth="1"/>
    <col min="4618" max="4618" width="15.1640625" style="323" customWidth="1"/>
    <col min="4619" max="4619" width="19.6640625" style="323" customWidth="1"/>
    <col min="4620" max="4622" width="16" style="323" customWidth="1"/>
    <col min="4623" max="4623" width="14.83203125" style="323" customWidth="1"/>
    <col min="4624" max="4624" width="17.33203125" style="323" customWidth="1"/>
    <col min="4625" max="4625" width="14.83203125" style="323" customWidth="1"/>
    <col min="4626" max="4634" width="9" style="323" customWidth="1"/>
    <col min="4635" max="4635" width="7.1640625" style="323" bestFit="1" customWidth="1"/>
    <col min="4636" max="4637" width="9" style="323" customWidth="1"/>
    <col min="4638" max="4642" width="10.33203125" style="323" customWidth="1"/>
    <col min="4643" max="4864" width="9" style="323" customWidth="1"/>
    <col min="4865" max="4865" width="60.33203125" style="323" customWidth="1"/>
    <col min="4866" max="4866" width="2.83203125" style="323" customWidth="1"/>
    <col min="4867" max="4867" width="14.83203125" style="323" customWidth="1"/>
    <col min="4868" max="4868" width="13.83203125" style="323" bestFit="1" customWidth="1"/>
    <col min="4869" max="4869" width="15.33203125" style="323" customWidth="1"/>
    <col min="4870" max="4870" width="14.1640625" style="323" customWidth="1"/>
    <col min="4871" max="4871" width="15.1640625" style="323" customWidth="1"/>
    <col min="4872" max="4872" width="13.33203125" style="323" customWidth="1"/>
    <col min="4873" max="4873" width="17.33203125" style="323" customWidth="1"/>
    <col min="4874" max="4874" width="15.1640625" style="323" customWidth="1"/>
    <col min="4875" max="4875" width="19.6640625" style="323" customWidth="1"/>
    <col min="4876" max="4878" width="16" style="323" customWidth="1"/>
    <col min="4879" max="4879" width="14.83203125" style="323" customWidth="1"/>
    <col min="4880" max="4880" width="17.33203125" style="323" customWidth="1"/>
    <col min="4881" max="4881" width="14.83203125" style="323" customWidth="1"/>
    <col min="4882" max="4890" width="9" style="323" customWidth="1"/>
    <col min="4891" max="4891" width="7.1640625" style="323" bestFit="1" customWidth="1"/>
    <col min="4892" max="4893" width="9" style="323" customWidth="1"/>
    <col min="4894" max="4898" width="10.33203125" style="323" customWidth="1"/>
    <col min="4899" max="5120" width="9" style="323" customWidth="1"/>
    <col min="5121" max="5121" width="60.33203125" style="323" customWidth="1"/>
    <col min="5122" max="5122" width="2.83203125" style="323" customWidth="1"/>
    <col min="5123" max="5123" width="14.83203125" style="323" customWidth="1"/>
    <col min="5124" max="5124" width="13.83203125" style="323" bestFit="1" customWidth="1"/>
    <col min="5125" max="5125" width="15.33203125" style="323" customWidth="1"/>
    <col min="5126" max="5126" width="14.1640625" style="323" customWidth="1"/>
    <col min="5127" max="5127" width="15.1640625" style="323" customWidth="1"/>
    <col min="5128" max="5128" width="13.33203125" style="323" customWidth="1"/>
    <col min="5129" max="5129" width="17.33203125" style="323" customWidth="1"/>
    <col min="5130" max="5130" width="15.1640625" style="323" customWidth="1"/>
    <col min="5131" max="5131" width="19.6640625" style="323" customWidth="1"/>
    <col min="5132" max="5134" width="16" style="323" customWidth="1"/>
    <col min="5135" max="5135" width="14.83203125" style="323" customWidth="1"/>
    <col min="5136" max="5136" width="17.33203125" style="323" customWidth="1"/>
    <col min="5137" max="5137" width="14.83203125" style="323" customWidth="1"/>
    <col min="5138" max="5146" width="9" style="323" customWidth="1"/>
    <col min="5147" max="5147" width="7.1640625" style="323" bestFit="1" customWidth="1"/>
    <col min="5148" max="5149" width="9" style="323" customWidth="1"/>
    <col min="5150" max="5154" width="10.33203125" style="323" customWidth="1"/>
    <col min="5155" max="5376" width="9" style="323" customWidth="1"/>
    <col min="5377" max="5377" width="60.33203125" style="323" customWidth="1"/>
    <col min="5378" max="5378" width="2.83203125" style="323" customWidth="1"/>
    <col min="5379" max="5379" width="14.83203125" style="323" customWidth="1"/>
    <col min="5380" max="5380" width="13.83203125" style="323" bestFit="1" customWidth="1"/>
    <col min="5381" max="5381" width="15.33203125" style="323" customWidth="1"/>
    <col min="5382" max="5382" width="14.1640625" style="323" customWidth="1"/>
    <col min="5383" max="5383" width="15.1640625" style="323" customWidth="1"/>
    <col min="5384" max="5384" width="13.33203125" style="323" customWidth="1"/>
    <col min="5385" max="5385" width="17.33203125" style="323" customWidth="1"/>
    <col min="5386" max="5386" width="15.1640625" style="323" customWidth="1"/>
    <col min="5387" max="5387" width="19.6640625" style="323" customWidth="1"/>
    <col min="5388" max="5390" width="16" style="323" customWidth="1"/>
    <col min="5391" max="5391" width="14.83203125" style="323" customWidth="1"/>
    <col min="5392" max="5392" width="17.33203125" style="323" customWidth="1"/>
    <col min="5393" max="5393" width="14.83203125" style="323" customWidth="1"/>
    <col min="5394" max="5402" width="9" style="323" customWidth="1"/>
    <col min="5403" max="5403" width="7.1640625" style="323" bestFit="1" customWidth="1"/>
    <col min="5404" max="5405" width="9" style="323" customWidth="1"/>
    <col min="5406" max="5410" width="10.33203125" style="323" customWidth="1"/>
    <col min="5411" max="5632" width="9" style="323" customWidth="1"/>
    <col min="5633" max="5633" width="60.33203125" style="323" customWidth="1"/>
    <col min="5634" max="5634" width="2.83203125" style="323" customWidth="1"/>
    <col min="5635" max="5635" width="14.83203125" style="323" customWidth="1"/>
    <col min="5636" max="5636" width="13.83203125" style="323" bestFit="1" customWidth="1"/>
    <col min="5637" max="5637" width="15.33203125" style="323" customWidth="1"/>
    <col min="5638" max="5638" width="14.1640625" style="323" customWidth="1"/>
    <col min="5639" max="5639" width="15.1640625" style="323" customWidth="1"/>
    <col min="5640" max="5640" width="13.33203125" style="323" customWidth="1"/>
    <col min="5641" max="5641" width="17.33203125" style="323" customWidth="1"/>
    <col min="5642" max="5642" width="15.1640625" style="323" customWidth="1"/>
    <col min="5643" max="5643" width="19.6640625" style="323" customWidth="1"/>
    <col min="5644" max="5646" width="16" style="323" customWidth="1"/>
    <col min="5647" max="5647" width="14.83203125" style="323" customWidth="1"/>
    <col min="5648" max="5648" width="17.33203125" style="323" customWidth="1"/>
    <col min="5649" max="5649" width="14.83203125" style="323" customWidth="1"/>
    <col min="5650" max="5658" width="9" style="323" customWidth="1"/>
    <col min="5659" max="5659" width="7.1640625" style="323" bestFit="1" customWidth="1"/>
    <col min="5660" max="5661" width="9" style="323" customWidth="1"/>
    <col min="5662" max="5666" width="10.33203125" style="323" customWidth="1"/>
    <col min="5667" max="5888" width="9" style="323" customWidth="1"/>
    <col min="5889" max="5889" width="60.33203125" style="323" customWidth="1"/>
    <col min="5890" max="5890" width="2.83203125" style="323" customWidth="1"/>
    <col min="5891" max="5891" width="14.83203125" style="323" customWidth="1"/>
    <col min="5892" max="5892" width="13.83203125" style="323" bestFit="1" customWidth="1"/>
    <col min="5893" max="5893" width="15.33203125" style="323" customWidth="1"/>
    <col min="5894" max="5894" width="14.1640625" style="323" customWidth="1"/>
    <col min="5895" max="5895" width="15.1640625" style="323" customWidth="1"/>
    <col min="5896" max="5896" width="13.33203125" style="323" customWidth="1"/>
    <col min="5897" max="5897" width="17.33203125" style="323" customWidth="1"/>
    <col min="5898" max="5898" width="15.1640625" style="323" customWidth="1"/>
    <col min="5899" max="5899" width="19.6640625" style="323" customWidth="1"/>
    <col min="5900" max="5902" width="16" style="323" customWidth="1"/>
    <col min="5903" max="5903" width="14.83203125" style="323" customWidth="1"/>
    <col min="5904" max="5904" width="17.33203125" style="323" customWidth="1"/>
    <col min="5905" max="5905" width="14.83203125" style="323" customWidth="1"/>
    <col min="5906" max="5914" width="9" style="323" customWidth="1"/>
    <col min="5915" max="5915" width="7.1640625" style="323" bestFit="1" customWidth="1"/>
    <col min="5916" max="5917" width="9" style="323" customWidth="1"/>
    <col min="5918" max="5922" width="10.33203125" style="323" customWidth="1"/>
    <col min="5923" max="6144" width="9" style="323" customWidth="1"/>
    <col min="6145" max="6145" width="60.33203125" style="323" customWidth="1"/>
    <col min="6146" max="6146" width="2.83203125" style="323" customWidth="1"/>
    <col min="6147" max="6147" width="14.83203125" style="323" customWidth="1"/>
    <col min="6148" max="6148" width="13.83203125" style="323" bestFit="1" customWidth="1"/>
    <col min="6149" max="6149" width="15.33203125" style="323" customWidth="1"/>
    <col min="6150" max="6150" width="14.1640625" style="323" customWidth="1"/>
    <col min="6151" max="6151" width="15.1640625" style="323" customWidth="1"/>
    <col min="6152" max="6152" width="13.33203125" style="323" customWidth="1"/>
    <col min="6153" max="6153" width="17.33203125" style="323" customWidth="1"/>
    <col min="6154" max="6154" width="15.1640625" style="323" customWidth="1"/>
    <col min="6155" max="6155" width="19.6640625" style="323" customWidth="1"/>
    <col min="6156" max="6158" width="16" style="323" customWidth="1"/>
    <col min="6159" max="6159" width="14.83203125" style="323" customWidth="1"/>
    <col min="6160" max="6160" width="17.33203125" style="323" customWidth="1"/>
    <col min="6161" max="6161" width="14.83203125" style="323" customWidth="1"/>
    <col min="6162" max="6170" width="9" style="323" customWidth="1"/>
    <col min="6171" max="6171" width="7.1640625" style="323" bestFit="1" customWidth="1"/>
    <col min="6172" max="6173" width="9" style="323" customWidth="1"/>
    <col min="6174" max="6178" width="10.33203125" style="323" customWidth="1"/>
    <col min="6179" max="6400" width="9" style="323" customWidth="1"/>
    <col min="6401" max="6401" width="60.33203125" style="323" customWidth="1"/>
    <col min="6402" max="6402" width="2.83203125" style="323" customWidth="1"/>
    <col min="6403" max="6403" width="14.83203125" style="323" customWidth="1"/>
    <col min="6404" max="6404" width="13.83203125" style="323" bestFit="1" customWidth="1"/>
    <col min="6405" max="6405" width="15.33203125" style="323" customWidth="1"/>
    <col min="6406" max="6406" width="14.1640625" style="323" customWidth="1"/>
    <col min="6407" max="6407" width="15.1640625" style="323" customWidth="1"/>
    <col min="6408" max="6408" width="13.33203125" style="323" customWidth="1"/>
    <col min="6409" max="6409" width="17.33203125" style="323" customWidth="1"/>
    <col min="6410" max="6410" width="15.1640625" style="323" customWidth="1"/>
    <col min="6411" max="6411" width="19.6640625" style="323" customWidth="1"/>
    <col min="6412" max="6414" width="16" style="323" customWidth="1"/>
    <col min="6415" max="6415" width="14.83203125" style="323" customWidth="1"/>
    <col min="6416" max="6416" width="17.33203125" style="323" customWidth="1"/>
    <col min="6417" max="6417" width="14.83203125" style="323" customWidth="1"/>
    <col min="6418" max="6426" width="9" style="323" customWidth="1"/>
    <col min="6427" max="6427" width="7.1640625" style="323" bestFit="1" customWidth="1"/>
    <col min="6428" max="6429" width="9" style="323" customWidth="1"/>
    <col min="6430" max="6434" width="10.33203125" style="323" customWidth="1"/>
    <col min="6435" max="6656" width="9" style="323" customWidth="1"/>
    <col min="6657" max="6657" width="60.33203125" style="323" customWidth="1"/>
    <col min="6658" max="6658" width="2.83203125" style="323" customWidth="1"/>
    <col min="6659" max="6659" width="14.83203125" style="323" customWidth="1"/>
    <col min="6660" max="6660" width="13.83203125" style="323" bestFit="1" customWidth="1"/>
    <col min="6661" max="6661" width="15.33203125" style="323" customWidth="1"/>
    <col min="6662" max="6662" width="14.1640625" style="323" customWidth="1"/>
    <col min="6663" max="6663" width="15.1640625" style="323" customWidth="1"/>
    <col min="6664" max="6664" width="13.33203125" style="323" customWidth="1"/>
    <col min="6665" max="6665" width="17.33203125" style="323" customWidth="1"/>
    <col min="6666" max="6666" width="15.1640625" style="323" customWidth="1"/>
    <col min="6667" max="6667" width="19.6640625" style="323" customWidth="1"/>
    <col min="6668" max="6670" width="16" style="323" customWidth="1"/>
    <col min="6671" max="6671" width="14.83203125" style="323" customWidth="1"/>
    <col min="6672" max="6672" width="17.33203125" style="323" customWidth="1"/>
    <col min="6673" max="6673" width="14.83203125" style="323" customWidth="1"/>
    <col min="6674" max="6682" width="9" style="323" customWidth="1"/>
    <col min="6683" max="6683" width="7.1640625" style="323" bestFit="1" customWidth="1"/>
    <col min="6684" max="6685" width="9" style="323" customWidth="1"/>
    <col min="6686" max="6690" width="10.33203125" style="323" customWidth="1"/>
    <col min="6691" max="6912" width="9" style="323" customWidth="1"/>
    <col min="6913" max="6913" width="60.33203125" style="323" customWidth="1"/>
    <col min="6914" max="6914" width="2.83203125" style="323" customWidth="1"/>
    <col min="6915" max="6915" width="14.83203125" style="323" customWidth="1"/>
    <col min="6916" max="6916" width="13.83203125" style="323" bestFit="1" customWidth="1"/>
    <col min="6917" max="6917" width="15.33203125" style="323" customWidth="1"/>
    <col min="6918" max="6918" width="14.1640625" style="323" customWidth="1"/>
    <col min="6919" max="6919" width="15.1640625" style="323" customWidth="1"/>
    <col min="6920" max="6920" width="13.33203125" style="323" customWidth="1"/>
    <col min="6921" max="6921" width="17.33203125" style="323" customWidth="1"/>
    <col min="6922" max="6922" width="15.1640625" style="323" customWidth="1"/>
    <col min="6923" max="6923" width="19.6640625" style="323" customWidth="1"/>
    <col min="6924" max="6926" width="16" style="323" customWidth="1"/>
    <col min="6927" max="6927" width="14.83203125" style="323" customWidth="1"/>
    <col min="6928" max="6928" width="17.33203125" style="323" customWidth="1"/>
    <col min="6929" max="6929" width="14.83203125" style="323" customWidth="1"/>
    <col min="6930" max="6938" width="9" style="323" customWidth="1"/>
    <col min="6939" max="6939" width="7.1640625" style="323" bestFit="1" customWidth="1"/>
    <col min="6940" max="6941" width="9" style="323" customWidth="1"/>
    <col min="6942" max="6946" width="10.33203125" style="323" customWidth="1"/>
    <col min="6947" max="7168" width="9" style="323" customWidth="1"/>
    <col min="7169" max="7169" width="60.33203125" style="323" customWidth="1"/>
    <col min="7170" max="7170" width="2.83203125" style="323" customWidth="1"/>
    <col min="7171" max="7171" width="14.83203125" style="323" customWidth="1"/>
    <col min="7172" max="7172" width="13.83203125" style="323" bestFit="1" customWidth="1"/>
    <col min="7173" max="7173" width="15.33203125" style="323" customWidth="1"/>
    <col min="7174" max="7174" width="14.1640625" style="323" customWidth="1"/>
    <col min="7175" max="7175" width="15.1640625" style="323" customWidth="1"/>
    <col min="7176" max="7176" width="13.33203125" style="323" customWidth="1"/>
    <col min="7177" max="7177" width="17.33203125" style="323" customWidth="1"/>
    <col min="7178" max="7178" width="15.1640625" style="323" customWidth="1"/>
    <col min="7179" max="7179" width="19.6640625" style="323" customWidth="1"/>
    <col min="7180" max="7182" width="16" style="323" customWidth="1"/>
    <col min="7183" max="7183" width="14.83203125" style="323" customWidth="1"/>
    <col min="7184" max="7184" width="17.33203125" style="323" customWidth="1"/>
    <col min="7185" max="7185" width="14.83203125" style="323" customWidth="1"/>
    <col min="7186" max="7194" width="9" style="323" customWidth="1"/>
    <col min="7195" max="7195" width="7.1640625" style="323" bestFit="1" customWidth="1"/>
    <col min="7196" max="7197" width="9" style="323" customWidth="1"/>
    <col min="7198" max="7202" width="10.33203125" style="323" customWidth="1"/>
    <col min="7203" max="7424" width="9" style="323" customWidth="1"/>
    <col min="7425" max="7425" width="60.33203125" style="323" customWidth="1"/>
    <col min="7426" max="7426" width="2.83203125" style="323" customWidth="1"/>
    <col min="7427" max="7427" width="14.83203125" style="323" customWidth="1"/>
    <col min="7428" max="7428" width="13.83203125" style="323" bestFit="1" customWidth="1"/>
    <col min="7429" max="7429" width="15.33203125" style="323" customWidth="1"/>
    <col min="7430" max="7430" width="14.1640625" style="323" customWidth="1"/>
    <col min="7431" max="7431" width="15.1640625" style="323" customWidth="1"/>
    <col min="7432" max="7432" width="13.33203125" style="323" customWidth="1"/>
    <col min="7433" max="7433" width="17.33203125" style="323" customWidth="1"/>
    <col min="7434" max="7434" width="15.1640625" style="323" customWidth="1"/>
    <col min="7435" max="7435" width="19.6640625" style="323" customWidth="1"/>
    <col min="7436" max="7438" width="16" style="323" customWidth="1"/>
    <col min="7439" max="7439" width="14.83203125" style="323" customWidth="1"/>
    <col min="7440" max="7440" width="17.33203125" style="323" customWidth="1"/>
    <col min="7441" max="7441" width="14.83203125" style="323" customWidth="1"/>
    <col min="7442" max="7450" width="9" style="323" customWidth="1"/>
    <col min="7451" max="7451" width="7.1640625" style="323" bestFit="1" customWidth="1"/>
    <col min="7452" max="7453" width="9" style="323" customWidth="1"/>
    <col min="7454" max="7458" width="10.33203125" style="323" customWidth="1"/>
    <col min="7459" max="7680" width="9" style="323" customWidth="1"/>
    <col min="7681" max="7681" width="60.33203125" style="323" customWidth="1"/>
    <col min="7682" max="7682" width="2.83203125" style="323" customWidth="1"/>
    <col min="7683" max="7683" width="14.83203125" style="323" customWidth="1"/>
    <col min="7684" max="7684" width="13.83203125" style="323" bestFit="1" customWidth="1"/>
    <col min="7685" max="7685" width="15.33203125" style="323" customWidth="1"/>
    <col min="7686" max="7686" width="14.1640625" style="323" customWidth="1"/>
    <col min="7687" max="7687" width="15.1640625" style="323" customWidth="1"/>
    <col min="7688" max="7688" width="13.33203125" style="323" customWidth="1"/>
    <col min="7689" max="7689" width="17.33203125" style="323" customWidth="1"/>
    <col min="7690" max="7690" width="15.1640625" style="323" customWidth="1"/>
    <col min="7691" max="7691" width="19.6640625" style="323" customWidth="1"/>
    <col min="7692" max="7694" width="16" style="323" customWidth="1"/>
    <col min="7695" max="7695" width="14.83203125" style="323" customWidth="1"/>
    <col min="7696" max="7696" width="17.33203125" style="323" customWidth="1"/>
    <col min="7697" max="7697" width="14.83203125" style="323" customWidth="1"/>
    <col min="7698" max="7706" width="9" style="323" customWidth="1"/>
    <col min="7707" max="7707" width="7.1640625" style="323" bestFit="1" customWidth="1"/>
    <col min="7708" max="7709" width="9" style="323" customWidth="1"/>
    <col min="7710" max="7714" width="10.33203125" style="323" customWidth="1"/>
    <col min="7715" max="7936" width="9" style="323" customWidth="1"/>
    <col min="7937" max="7937" width="60.33203125" style="323" customWidth="1"/>
    <col min="7938" max="7938" width="2.83203125" style="323" customWidth="1"/>
    <col min="7939" max="7939" width="14.83203125" style="323" customWidth="1"/>
    <col min="7940" max="7940" width="13.83203125" style="323" bestFit="1" customWidth="1"/>
    <col min="7941" max="7941" width="15.33203125" style="323" customWidth="1"/>
    <col min="7942" max="7942" width="14.1640625" style="323" customWidth="1"/>
    <col min="7943" max="7943" width="15.1640625" style="323" customWidth="1"/>
    <col min="7944" max="7944" width="13.33203125" style="323" customWidth="1"/>
    <col min="7945" max="7945" width="17.33203125" style="323" customWidth="1"/>
    <col min="7946" max="7946" width="15.1640625" style="323" customWidth="1"/>
    <col min="7947" max="7947" width="19.6640625" style="323" customWidth="1"/>
    <col min="7948" max="7950" width="16" style="323" customWidth="1"/>
    <col min="7951" max="7951" width="14.83203125" style="323" customWidth="1"/>
    <col min="7952" max="7952" width="17.33203125" style="323" customWidth="1"/>
    <col min="7953" max="7953" width="14.83203125" style="323" customWidth="1"/>
    <col min="7954" max="7962" width="9" style="323" customWidth="1"/>
    <col min="7963" max="7963" width="7.1640625" style="323" bestFit="1" customWidth="1"/>
    <col min="7964" max="7965" width="9" style="323" customWidth="1"/>
    <col min="7966" max="7970" width="10.33203125" style="323" customWidth="1"/>
    <col min="7971" max="8192" width="9" style="323" customWidth="1"/>
    <col min="8193" max="8193" width="60.33203125" style="323" customWidth="1"/>
    <col min="8194" max="8194" width="2.83203125" style="323" customWidth="1"/>
    <col min="8195" max="8195" width="14.83203125" style="323" customWidth="1"/>
    <col min="8196" max="8196" width="13.83203125" style="323" bestFit="1" customWidth="1"/>
    <col min="8197" max="8197" width="15.33203125" style="323" customWidth="1"/>
    <col min="8198" max="8198" width="14.1640625" style="323" customWidth="1"/>
    <col min="8199" max="8199" width="15.1640625" style="323" customWidth="1"/>
    <col min="8200" max="8200" width="13.33203125" style="323" customWidth="1"/>
    <col min="8201" max="8201" width="17.33203125" style="323" customWidth="1"/>
    <col min="8202" max="8202" width="15.1640625" style="323" customWidth="1"/>
    <col min="8203" max="8203" width="19.6640625" style="323" customWidth="1"/>
    <col min="8204" max="8206" width="16" style="323" customWidth="1"/>
    <col min="8207" max="8207" width="14.83203125" style="323" customWidth="1"/>
    <col min="8208" max="8208" width="17.33203125" style="323" customWidth="1"/>
    <col min="8209" max="8209" width="14.83203125" style="323" customWidth="1"/>
    <col min="8210" max="8218" width="9" style="323" customWidth="1"/>
    <col min="8219" max="8219" width="7.1640625" style="323" bestFit="1" customWidth="1"/>
    <col min="8220" max="8221" width="9" style="323" customWidth="1"/>
    <col min="8222" max="8226" width="10.33203125" style="323" customWidth="1"/>
    <col min="8227" max="8448" width="9" style="323" customWidth="1"/>
    <col min="8449" max="8449" width="60.33203125" style="323" customWidth="1"/>
    <col min="8450" max="8450" width="2.83203125" style="323" customWidth="1"/>
    <col min="8451" max="8451" width="14.83203125" style="323" customWidth="1"/>
    <col min="8452" max="8452" width="13.83203125" style="323" bestFit="1" customWidth="1"/>
    <col min="8453" max="8453" width="15.33203125" style="323" customWidth="1"/>
    <col min="8454" max="8454" width="14.1640625" style="323" customWidth="1"/>
    <col min="8455" max="8455" width="15.1640625" style="323" customWidth="1"/>
    <col min="8456" max="8456" width="13.33203125" style="323" customWidth="1"/>
    <col min="8457" max="8457" width="17.33203125" style="323" customWidth="1"/>
    <col min="8458" max="8458" width="15.1640625" style="323" customWidth="1"/>
    <col min="8459" max="8459" width="19.6640625" style="323" customWidth="1"/>
    <col min="8460" max="8462" width="16" style="323" customWidth="1"/>
    <col min="8463" max="8463" width="14.83203125" style="323" customWidth="1"/>
    <col min="8464" max="8464" width="17.33203125" style="323" customWidth="1"/>
    <col min="8465" max="8465" width="14.83203125" style="323" customWidth="1"/>
    <col min="8466" max="8474" width="9" style="323" customWidth="1"/>
    <col min="8475" max="8475" width="7.1640625" style="323" bestFit="1" customWidth="1"/>
    <col min="8476" max="8477" width="9" style="323" customWidth="1"/>
    <col min="8478" max="8482" width="10.33203125" style="323" customWidth="1"/>
    <col min="8483" max="8704" width="9" style="323" customWidth="1"/>
    <col min="8705" max="8705" width="60.33203125" style="323" customWidth="1"/>
    <col min="8706" max="8706" width="2.83203125" style="323" customWidth="1"/>
    <col min="8707" max="8707" width="14.83203125" style="323" customWidth="1"/>
    <col min="8708" max="8708" width="13.83203125" style="323" bestFit="1" customWidth="1"/>
    <col min="8709" max="8709" width="15.33203125" style="323" customWidth="1"/>
    <col min="8710" max="8710" width="14.1640625" style="323" customWidth="1"/>
    <col min="8711" max="8711" width="15.1640625" style="323" customWidth="1"/>
    <col min="8712" max="8712" width="13.33203125" style="323" customWidth="1"/>
    <col min="8713" max="8713" width="17.33203125" style="323" customWidth="1"/>
    <col min="8714" max="8714" width="15.1640625" style="323" customWidth="1"/>
    <col min="8715" max="8715" width="19.6640625" style="323" customWidth="1"/>
    <col min="8716" max="8718" width="16" style="323" customWidth="1"/>
    <col min="8719" max="8719" width="14.83203125" style="323" customWidth="1"/>
    <col min="8720" max="8720" width="17.33203125" style="323" customWidth="1"/>
    <col min="8721" max="8721" width="14.83203125" style="323" customWidth="1"/>
    <col min="8722" max="8730" width="9" style="323" customWidth="1"/>
    <col min="8731" max="8731" width="7.1640625" style="323" bestFit="1" customWidth="1"/>
    <col min="8732" max="8733" width="9" style="323" customWidth="1"/>
    <col min="8734" max="8738" width="10.33203125" style="323" customWidth="1"/>
    <col min="8739" max="8960" width="9" style="323" customWidth="1"/>
    <col min="8961" max="8961" width="60.33203125" style="323" customWidth="1"/>
    <col min="8962" max="8962" width="2.83203125" style="323" customWidth="1"/>
    <col min="8963" max="8963" width="14.83203125" style="323" customWidth="1"/>
    <col min="8964" max="8964" width="13.83203125" style="323" bestFit="1" customWidth="1"/>
    <col min="8965" max="8965" width="15.33203125" style="323" customWidth="1"/>
    <col min="8966" max="8966" width="14.1640625" style="323" customWidth="1"/>
    <col min="8967" max="8967" width="15.1640625" style="323" customWidth="1"/>
    <col min="8968" max="8968" width="13.33203125" style="323" customWidth="1"/>
    <col min="8969" max="8969" width="17.33203125" style="323" customWidth="1"/>
    <col min="8970" max="8970" width="15.1640625" style="323" customWidth="1"/>
    <col min="8971" max="8971" width="19.6640625" style="323" customWidth="1"/>
    <col min="8972" max="8974" width="16" style="323" customWidth="1"/>
    <col min="8975" max="8975" width="14.83203125" style="323" customWidth="1"/>
    <col min="8976" max="8976" width="17.33203125" style="323" customWidth="1"/>
    <col min="8977" max="8977" width="14.83203125" style="323" customWidth="1"/>
    <col min="8978" max="8986" width="9" style="323" customWidth="1"/>
    <col min="8987" max="8987" width="7.1640625" style="323" bestFit="1" customWidth="1"/>
    <col min="8988" max="8989" width="9" style="323" customWidth="1"/>
    <col min="8990" max="8994" width="10.33203125" style="323" customWidth="1"/>
    <col min="8995" max="9216" width="9" style="323" customWidth="1"/>
    <col min="9217" max="9217" width="60.33203125" style="323" customWidth="1"/>
    <col min="9218" max="9218" width="2.83203125" style="323" customWidth="1"/>
    <col min="9219" max="9219" width="14.83203125" style="323" customWidth="1"/>
    <col min="9220" max="9220" width="13.83203125" style="323" bestFit="1" customWidth="1"/>
    <col min="9221" max="9221" width="15.33203125" style="323" customWidth="1"/>
    <col min="9222" max="9222" width="14.1640625" style="323" customWidth="1"/>
    <col min="9223" max="9223" width="15.1640625" style="323" customWidth="1"/>
    <col min="9224" max="9224" width="13.33203125" style="323" customWidth="1"/>
    <col min="9225" max="9225" width="17.33203125" style="323" customWidth="1"/>
    <col min="9226" max="9226" width="15.1640625" style="323" customWidth="1"/>
    <col min="9227" max="9227" width="19.6640625" style="323" customWidth="1"/>
    <col min="9228" max="9230" width="16" style="323" customWidth="1"/>
    <col min="9231" max="9231" width="14.83203125" style="323" customWidth="1"/>
    <col min="9232" max="9232" width="17.33203125" style="323" customWidth="1"/>
    <col min="9233" max="9233" width="14.83203125" style="323" customWidth="1"/>
    <col min="9234" max="9242" width="9" style="323" customWidth="1"/>
    <col min="9243" max="9243" width="7.1640625" style="323" bestFit="1" customWidth="1"/>
    <col min="9244" max="9245" width="9" style="323" customWidth="1"/>
    <col min="9246" max="9250" width="10.33203125" style="323" customWidth="1"/>
    <col min="9251" max="9472" width="9" style="323" customWidth="1"/>
    <col min="9473" max="9473" width="60.33203125" style="323" customWidth="1"/>
    <col min="9474" max="9474" width="2.83203125" style="323" customWidth="1"/>
    <col min="9475" max="9475" width="14.83203125" style="323" customWidth="1"/>
    <col min="9476" max="9476" width="13.83203125" style="323" bestFit="1" customWidth="1"/>
    <col min="9477" max="9477" width="15.33203125" style="323" customWidth="1"/>
    <col min="9478" max="9478" width="14.1640625" style="323" customWidth="1"/>
    <col min="9479" max="9479" width="15.1640625" style="323" customWidth="1"/>
    <col min="9480" max="9480" width="13.33203125" style="323" customWidth="1"/>
    <col min="9481" max="9481" width="17.33203125" style="323" customWidth="1"/>
    <col min="9482" max="9482" width="15.1640625" style="323" customWidth="1"/>
    <col min="9483" max="9483" width="19.6640625" style="323" customWidth="1"/>
    <col min="9484" max="9486" width="16" style="323" customWidth="1"/>
    <col min="9487" max="9487" width="14.83203125" style="323" customWidth="1"/>
    <col min="9488" max="9488" width="17.33203125" style="323" customWidth="1"/>
    <col min="9489" max="9489" width="14.83203125" style="323" customWidth="1"/>
    <col min="9490" max="9498" width="9" style="323" customWidth="1"/>
    <col min="9499" max="9499" width="7.1640625" style="323" bestFit="1" customWidth="1"/>
    <col min="9500" max="9501" width="9" style="323" customWidth="1"/>
    <col min="9502" max="9506" width="10.33203125" style="323" customWidth="1"/>
    <col min="9507" max="9728" width="9" style="323" customWidth="1"/>
    <col min="9729" max="9729" width="60.33203125" style="323" customWidth="1"/>
    <col min="9730" max="9730" width="2.83203125" style="323" customWidth="1"/>
    <col min="9731" max="9731" width="14.83203125" style="323" customWidth="1"/>
    <col min="9732" max="9732" width="13.83203125" style="323" bestFit="1" customWidth="1"/>
    <col min="9733" max="9733" width="15.33203125" style="323" customWidth="1"/>
    <col min="9734" max="9734" width="14.1640625" style="323" customWidth="1"/>
    <col min="9735" max="9735" width="15.1640625" style="323" customWidth="1"/>
    <col min="9736" max="9736" width="13.33203125" style="323" customWidth="1"/>
    <col min="9737" max="9737" width="17.33203125" style="323" customWidth="1"/>
    <col min="9738" max="9738" width="15.1640625" style="323" customWidth="1"/>
    <col min="9739" max="9739" width="19.6640625" style="323" customWidth="1"/>
    <col min="9740" max="9742" width="16" style="323" customWidth="1"/>
    <col min="9743" max="9743" width="14.83203125" style="323" customWidth="1"/>
    <col min="9744" max="9744" width="17.33203125" style="323" customWidth="1"/>
    <col min="9745" max="9745" width="14.83203125" style="323" customWidth="1"/>
    <col min="9746" max="9754" width="9" style="323" customWidth="1"/>
    <col min="9755" max="9755" width="7.1640625" style="323" bestFit="1" customWidth="1"/>
    <col min="9756" max="9757" width="9" style="323" customWidth="1"/>
    <col min="9758" max="9762" width="10.33203125" style="323" customWidth="1"/>
    <col min="9763" max="9984" width="9" style="323" customWidth="1"/>
    <col min="9985" max="9985" width="60.33203125" style="323" customWidth="1"/>
    <col min="9986" max="9986" width="2.83203125" style="323" customWidth="1"/>
    <col min="9987" max="9987" width="14.83203125" style="323" customWidth="1"/>
    <col min="9988" max="9988" width="13.83203125" style="323" bestFit="1" customWidth="1"/>
    <col min="9989" max="9989" width="15.33203125" style="323" customWidth="1"/>
    <col min="9990" max="9990" width="14.1640625" style="323" customWidth="1"/>
    <col min="9991" max="9991" width="15.1640625" style="323" customWidth="1"/>
    <col min="9992" max="9992" width="13.33203125" style="323" customWidth="1"/>
    <col min="9993" max="9993" width="17.33203125" style="323" customWidth="1"/>
    <col min="9994" max="9994" width="15.1640625" style="323" customWidth="1"/>
    <col min="9995" max="9995" width="19.6640625" style="323" customWidth="1"/>
    <col min="9996" max="9998" width="16" style="323" customWidth="1"/>
    <col min="9999" max="9999" width="14.83203125" style="323" customWidth="1"/>
    <col min="10000" max="10000" width="17.33203125" style="323" customWidth="1"/>
    <col min="10001" max="10001" width="14.83203125" style="323" customWidth="1"/>
    <col min="10002" max="10010" width="9" style="323" customWidth="1"/>
    <col min="10011" max="10011" width="7.1640625" style="323" bestFit="1" customWidth="1"/>
    <col min="10012" max="10013" width="9" style="323" customWidth="1"/>
    <col min="10014" max="10018" width="10.33203125" style="323" customWidth="1"/>
    <col min="10019" max="10240" width="9" style="323" customWidth="1"/>
    <col min="10241" max="10241" width="60.33203125" style="323" customWidth="1"/>
    <col min="10242" max="10242" width="2.83203125" style="323" customWidth="1"/>
    <col min="10243" max="10243" width="14.83203125" style="323" customWidth="1"/>
    <col min="10244" max="10244" width="13.83203125" style="323" bestFit="1" customWidth="1"/>
    <col min="10245" max="10245" width="15.33203125" style="323" customWidth="1"/>
    <col min="10246" max="10246" width="14.1640625" style="323" customWidth="1"/>
    <col min="10247" max="10247" width="15.1640625" style="323" customWidth="1"/>
    <col min="10248" max="10248" width="13.33203125" style="323" customWidth="1"/>
    <col min="10249" max="10249" width="17.33203125" style="323" customWidth="1"/>
    <col min="10250" max="10250" width="15.1640625" style="323" customWidth="1"/>
    <col min="10251" max="10251" width="19.6640625" style="323" customWidth="1"/>
    <col min="10252" max="10254" width="16" style="323" customWidth="1"/>
    <col min="10255" max="10255" width="14.83203125" style="323" customWidth="1"/>
    <col min="10256" max="10256" width="17.33203125" style="323" customWidth="1"/>
    <col min="10257" max="10257" width="14.83203125" style="323" customWidth="1"/>
    <col min="10258" max="10266" width="9" style="323" customWidth="1"/>
    <col min="10267" max="10267" width="7.1640625" style="323" bestFit="1" customWidth="1"/>
    <col min="10268" max="10269" width="9" style="323" customWidth="1"/>
    <col min="10270" max="10274" width="10.33203125" style="323" customWidth="1"/>
    <col min="10275" max="10496" width="9" style="323" customWidth="1"/>
    <col min="10497" max="10497" width="60.33203125" style="323" customWidth="1"/>
    <col min="10498" max="10498" width="2.83203125" style="323" customWidth="1"/>
    <col min="10499" max="10499" width="14.83203125" style="323" customWidth="1"/>
    <col min="10500" max="10500" width="13.83203125" style="323" bestFit="1" customWidth="1"/>
    <col min="10501" max="10501" width="15.33203125" style="323" customWidth="1"/>
    <col min="10502" max="10502" width="14.1640625" style="323" customWidth="1"/>
    <col min="10503" max="10503" width="15.1640625" style="323" customWidth="1"/>
    <col min="10504" max="10504" width="13.33203125" style="323" customWidth="1"/>
    <col min="10505" max="10505" width="17.33203125" style="323" customWidth="1"/>
    <col min="10506" max="10506" width="15.1640625" style="323" customWidth="1"/>
    <col min="10507" max="10507" width="19.6640625" style="323" customWidth="1"/>
    <col min="10508" max="10510" width="16" style="323" customWidth="1"/>
    <col min="10511" max="10511" width="14.83203125" style="323" customWidth="1"/>
    <col min="10512" max="10512" width="17.33203125" style="323" customWidth="1"/>
    <col min="10513" max="10513" width="14.83203125" style="323" customWidth="1"/>
    <col min="10514" max="10522" width="9" style="323" customWidth="1"/>
    <col min="10523" max="10523" width="7.1640625" style="323" bestFit="1" customWidth="1"/>
    <col min="10524" max="10525" width="9" style="323" customWidth="1"/>
    <col min="10526" max="10530" width="10.33203125" style="323" customWidth="1"/>
    <col min="10531" max="10752" width="9" style="323" customWidth="1"/>
    <col min="10753" max="10753" width="60.33203125" style="323" customWidth="1"/>
    <col min="10754" max="10754" width="2.83203125" style="323" customWidth="1"/>
    <col min="10755" max="10755" width="14.83203125" style="323" customWidth="1"/>
    <col min="10756" max="10756" width="13.83203125" style="323" bestFit="1" customWidth="1"/>
    <col min="10757" max="10757" width="15.33203125" style="323" customWidth="1"/>
    <col min="10758" max="10758" width="14.1640625" style="323" customWidth="1"/>
    <col min="10759" max="10759" width="15.1640625" style="323" customWidth="1"/>
    <col min="10760" max="10760" width="13.33203125" style="323" customWidth="1"/>
    <col min="10761" max="10761" width="17.33203125" style="323" customWidth="1"/>
    <col min="10762" max="10762" width="15.1640625" style="323" customWidth="1"/>
    <col min="10763" max="10763" width="19.6640625" style="323" customWidth="1"/>
    <col min="10764" max="10766" width="16" style="323" customWidth="1"/>
    <col min="10767" max="10767" width="14.83203125" style="323" customWidth="1"/>
    <col min="10768" max="10768" width="17.33203125" style="323" customWidth="1"/>
    <col min="10769" max="10769" width="14.83203125" style="323" customWidth="1"/>
    <col min="10770" max="10778" width="9" style="323" customWidth="1"/>
    <col min="10779" max="10779" width="7.1640625" style="323" bestFit="1" customWidth="1"/>
    <col min="10780" max="10781" width="9" style="323" customWidth="1"/>
    <col min="10782" max="10786" width="10.33203125" style="323" customWidth="1"/>
    <col min="10787" max="11008" width="9" style="323" customWidth="1"/>
    <col min="11009" max="11009" width="60.33203125" style="323" customWidth="1"/>
    <col min="11010" max="11010" width="2.83203125" style="323" customWidth="1"/>
    <col min="11011" max="11011" width="14.83203125" style="323" customWidth="1"/>
    <col min="11012" max="11012" width="13.83203125" style="323" bestFit="1" customWidth="1"/>
    <col min="11013" max="11013" width="15.33203125" style="323" customWidth="1"/>
    <col min="11014" max="11014" width="14.1640625" style="323" customWidth="1"/>
    <col min="11015" max="11015" width="15.1640625" style="323" customWidth="1"/>
    <col min="11016" max="11016" width="13.33203125" style="323" customWidth="1"/>
    <col min="11017" max="11017" width="17.33203125" style="323" customWidth="1"/>
    <col min="11018" max="11018" width="15.1640625" style="323" customWidth="1"/>
    <col min="11019" max="11019" width="19.6640625" style="323" customWidth="1"/>
    <col min="11020" max="11022" width="16" style="323" customWidth="1"/>
    <col min="11023" max="11023" width="14.83203125" style="323" customWidth="1"/>
    <col min="11024" max="11024" width="17.33203125" style="323" customWidth="1"/>
    <col min="11025" max="11025" width="14.83203125" style="323" customWidth="1"/>
    <col min="11026" max="11034" width="9" style="323" customWidth="1"/>
    <col min="11035" max="11035" width="7.1640625" style="323" bestFit="1" customWidth="1"/>
    <col min="11036" max="11037" width="9" style="323" customWidth="1"/>
    <col min="11038" max="11042" width="10.33203125" style="323" customWidth="1"/>
    <col min="11043" max="11264" width="9" style="323" customWidth="1"/>
    <col min="11265" max="11265" width="60.33203125" style="323" customWidth="1"/>
    <col min="11266" max="11266" width="2.83203125" style="323" customWidth="1"/>
    <col min="11267" max="11267" width="14.83203125" style="323" customWidth="1"/>
    <col min="11268" max="11268" width="13.83203125" style="323" bestFit="1" customWidth="1"/>
    <col min="11269" max="11269" width="15.33203125" style="323" customWidth="1"/>
    <col min="11270" max="11270" width="14.1640625" style="323" customWidth="1"/>
    <col min="11271" max="11271" width="15.1640625" style="323" customWidth="1"/>
    <col min="11272" max="11272" width="13.33203125" style="323" customWidth="1"/>
    <col min="11273" max="11273" width="17.33203125" style="323" customWidth="1"/>
    <col min="11274" max="11274" width="15.1640625" style="323" customWidth="1"/>
    <col min="11275" max="11275" width="19.6640625" style="323" customWidth="1"/>
    <col min="11276" max="11278" width="16" style="323" customWidth="1"/>
    <col min="11279" max="11279" width="14.83203125" style="323" customWidth="1"/>
    <col min="11280" max="11280" width="17.33203125" style="323" customWidth="1"/>
    <col min="11281" max="11281" width="14.83203125" style="323" customWidth="1"/>
    <col min="11282" max="11290" width="9" style="323" customWidth="1"/>
    <col min="11291" max="11291" width="7.1640625" style="323" bestFit="1" customWidth="1"/>
    <col min="11292" max="11293" width="9" style="323" customWidth="1"/>
    <col min="11294" max="11298" width="10.33203125" style="323" customWidth="1"/>
    <col min="11299" max="11520" width="9" style="323" customWidth="1"/>
    <col min="11521" max="11521" width="60.33203125" style="323" customWidth="1"/>
    <col min="11522" max="11522" width="2.83203125" style="323" customWidth="1"/>
    <col min="11523" max="11523" width="14.83203125" style="323" customWidth="1"/>
    <col min="11524" max="11524" width="13.83203125" style="323" bestFit="1" customWidth="1"/>
    <col min="11525" max="11525" width="15.33203125" style="323" customWidth="1"/>
    <col min="11526" max="11526" width="14.1640625" style="323" customWidth="1"/>
    <col min="11527" max="11527" width="15.1640625" style="323" customWidth="1"/>
    <col min="11528" max="11528" width="13.33203125" style="323" customWidth="1"/>
    <col min="11529" max="11529" width="17.33203125" style="323" customWidth="1"/>
    <col min="11530" max="11530" width="15.1640625" style="323" customWidth="1"/>
    <col min="11531" max="11531" width="19.6640625" style="323" customWidth="1"/>
    <col min="11532" max="11534" width="16" style="323" customWidth="1"/>
    <col min="11535" max="11535" width="14.83203125" style="323" customWidth="1"/>
    <col min="11536" max="11536" width="17.33203125" style="323" customWidth="1"/>
    <col min="11537" max="11537" width="14.83203125" style="323" customWidth="1"/>
    <col min="11538" max="11546" width="9" style="323" customWidth="1"/>
    <col min="11547" max="11547" width="7.1640625" style="323" bestFit="1" customWidth="1"/>
    <col min="11548" max="11549" width="9" style="323" customWidth="1"/>
    <col min="11550" max="11554" width="10.33203125" style="323" customWidth="1"/>
    <col min="11555" max="11776" width="9" style="323" customWidth="1"/>
    <col min="11777" max="11777" width="60.33203125" style="323" customWidth="1"/>
    <col min="11778" max="11778" width="2.83203125" style="323" customWidth="1"/>
    <col min="11779" max="11779" width="14.83203125" style="323" customWidth="1"/>
    <col min="11780" max="11780" width="13.83203125" style="323" bestFit="1" customWidth="1"/>
    <col min="11781" max="11781" width="15.33203125" style="323" customWidth="1"/>
    <col min="11782" max="11782" width="14.1640625" style="323" customWidth="1"/>
    <col min="11783" max="11783" width="15.1640625" style="323" customWidth="1"/>
    <col min="11784" max="11784" width="13.33203125" style="323" customWidth="1"/>
    <col min="11785" max="11785" width="17.33203125" style="323" customWidth="1"/>
    <col min="11786" max="11786" width="15.1640625" style="323" customWidth="1"/>
    <col min="11787" max="11787" width="19.6640625" style="323" customWidth="1"/>
    <col min="11788" max="11790" width="16" style="323" customWidth="1"/>
    <col min="11791" max="11791" width="14.83203125" style="323" customWidth="1"/>
    <col min="11792" max="11792" width="17.33203125" style="323" customWidth="1"/>
    <col min="11793" max="11793" width="14.83203125" style="323" customWidth="1"/>
    <col min="11794" max="11802" width="9" style="323" customWidth="1"/>
    <col min="11803" max="11803" width="7.1640625" style="323" bestFit="1" customWidth="1"/>
    <col min="11804" max="11805" width="9" style="323" customWidth="1"/>
    <col min="11806" max="11810" width="10.33203125" style="323" customWidth="1"/>
    <col min="11811" max="12032" width="9" style="323" customWidth="1"/>
    <col min="12033" max="12033" width="60.33203125" style="323" customWidth="1"/>
    <col min="12034" max="12034" width="2.83203125" style="323" customWidth="1"/>
    <col min="12035" max="12035" width="14.83203125" style="323" customWidth="1"/>
    <col min="12036" max="12036" width="13.83203125" style="323" bestFit="1" customWidth="1"/>
    <col min="12037" max="12037" width="15.33203125" style="323" customWidth="1"/>
    <col min="12038" max="12038" width="14.1640625" style="323" customWidth="1"/>
    <col min="12039" max="12039" width="15.1640625" style="323" customWidth="1"/>
    <col min="12040" max="12040" width="13.33203125" style="323" customWidth="1"/>
    <col min="12041" max="12041" width="17.33203125" style="323" customWidth="1"/>
    <col min="12042" max="12042" width="15.1640625" style="323" customWidth="1"/>
    <col min="12043" max="12043" width="19.6640625" style="323" customWidth="1"/>
    <col min="12044" max="12046" width="16" style="323" customWidth="1"/>
    <col min="12047" max="12047" width="14.83203125" style="323" customWidth="1"/>
    <col min="12048" max="12048" width="17.33203125" style="323" customWidth="1"/>
    <col min="12049" max="12049" width="14.83203125" style="323" customWidth="1"/>
    <col min="12050" max="12058" width="9" style="323" customWidth="1"/>
    <col min="12059" max="12059" width="7.1640625" style="323" bestFit="1" customWidth="1"/>
    <col min="12060" max="12061" width="9" style="323" customWidth="1"/>
    <col min="12062" max="12066" width="10.33203125" style="323" customWidth="1"/>
    <col min="12067" max="12288" width="9" style="323" customWidth="1"/>
    <col min="12289" max="12289" width="60.33203125" style="323" customWidth="1"/>
    <col min="12290" max="12290" width="2.83203125" style="323" customWidth="1"/>
    <col min="12291" max="12291" width="14.83203125" style="323" customWidth="1"/>
    <col min="12292" max="12292" width="13.83203125" style="323" bestFit="1" customWidth="1"/>
    <col min="12293" max="12293" width="15.33203125" style="323" customWidth="1"/>
    <col min="12294" max="12294" width="14.1640625" style="323" customWidth="1"/>
    <col min="12295" max="12295" width="15.1640625" style="323" customWidth="1"/>
    <col min="12296" max="12296" width="13.33203125" style="323" customWidth="1"/>
    <col min="12297" max="12297" width="17.33203125" style="323" customWidth="1"/>
    <col min="12298" max="12298" width="15.1640625" style="323" customWidth="1"/>
    <col min="12299" max="12299" width="19.6640625" style="323" customWidth="1"/>
    <col min="12300" max="12302" width="16" style="323" customWidth="1"/>
    <col min="12303" max="12303" width="14.83203125" style="323" customWidth="1"/>
    <col min="12304" max="12304" width="17.33203125" style="323" customWidth="1"/>
    <col min="12305" max="12305" width="14.83203125" style="323" customWidth="1"/>
    <col min="12306" max="12314" width="9" style="323" customWidth="1"/>
    <col min="12315" max="12315" width="7.1640625" style="323" bestFit="1" customWidth="1"/>
    <col min="12316" max="12317" width="9" style="323" customWidth="1"/>
    <col min="12318" max="12322" width="10.33203125" style="323" customWidth="1"/>
    <col min="12323" max="12544" width="9" style="323" customWidth="1"/>
    <col min="12545" max="12545" width="60.33203125" style="323" customWidth="1"/>
    <col min="12546" max="12546" width="2.83203125" style="323" customWidth="1"/>
    <col min="12547" max="12547" width="14.83203125" style="323" customWidth="1"/>
    <col min="12548" max="12548" width="13.83203125" style="323" bestFit="1" customWidth="1"/>
    <col min="12549" max="12549" width="15.33203125" style="323" customWidth="1"/>
    <col min="12550" max="12550" width="14.1640625" style="323" customWidth="1"/>
    <col min="12551" max="12551" width="15.1640625" style="323" customWidth="1"/>
    <col min="12552" max="12552" width="13.33203125" style="323" customWidth="1"/>
    <col min="12553" max="12553" width="17.33203125" style="323" customWidth="1"/>
    <col min="12554" max="12554" width="15.1640625" style="323" customWidth="1"/>
    <col min="12555" max="12555" width="19.6640625" style="323" customWidth="1"/>
    <col min="12556" max="12558" width="16" style="323" customWidth="1"/>
    <col min="12559" max="12559" width="14.83203125" style="323" customWidth="1"/>
    <col min="12560" max="12560" width="17.33203125" style="323" customWidth="1"/>
    <col min="12561" max="12561" width="14.83203125" style="323" customWidth="1"/>
    <col min="12562" max="12570" width="9" style="323" customWidth="1"/>
    <col min="12571" max="12571" width="7.1640625" style="323" bestFit="1" customWidth="1"/>
    <col min="12572" max="12573" width="9" style="323" customWidth="1"/>
    <col min="12574" max="12578" width="10.33203125" style="323" customWidth="1"/>
    <col min="12579" max="12800" width="9" style="323" customWidth="1"/>
    <col min="12801" max="12801" width="60.33203125" style="323" customWidth="1"/>
    <col min="12802" max="12802" width="2.83203125" style="323" customWidth="1"/>
    <col min="12803" max="12803" width="14.83203125" style="323" customWidth="1"/>
    <col min="12804" max="12804" width="13.83203125" style="323" bestFit="1" customWidth="1"/>
    <col min="12805" max="12805" width="15.33203125" style="323" customWidth="1"/>
    <col min="12806" max="12806" width="14.1640625" style="323" customWidth="1"/>
    <col min="12807" max="12807" width="15.1640625" style="323" customWidth="1"/>
    <col min="12808" max="12808" width="13.33203125" style="323" customWidth="1"/>
    <col min="12809" max="12809" width="17.33203125" style="323" customWidth="1"/>
    <col min="12810" max="12810" width="15.1640625" style="323" customWidth="1"/>
    <col min="12811" max="12811" width="19.6640625" style="323" customWidth="1"/>
    <col min="12812" max="12814" width="16" style="323" customWidth="1"/>
    <col min="12815" max="12815" width="14.83203125" style="323" customWidth="1"/>
    <col min="12816" max="12816" width="17.33203125" style="323" customWidth="1"/>
    <col min="12817" max="12817" width="14.83203125" style="323" customWidth="1"/>
    <col min="12818" max="12826" width="9" style="323" customWidth="1"/>
    <col min="12827" max="12827" width="7.1640625" style="323" bestFit="1" customWidth="1"/>
    <col min="12828" max="12829" width="9" style="323" customWidth="1"/>
    <col min="12830" max="12834" width="10.33203125" style="323" customWidth="1"/>
    <col min="12835" max="13056" width="9" style="323" customWidth="1"/>
    <col min="13057" max="13057" width="60.33203125" style="323" customWidth="1"/>
    <col min="13058" max="13058" width="2.83203125" style="323" customWidth="1"/>
    <col min="13059" max="13059" width="14.83203125" style="323" customWidth="1"/>
    <col min="13060" max="13060" width="13.83203125" style="323" bestFit="1" customWidth="1"/>
    <col min="13061" max="13061" width="15.33203125" style="323" customWidth="1"/>
    <col min="13062" max="13062" width="14.1640625" style="323" customWidth="1"/>
    <col min="13063" max="13063" width="15.1640625" style="323" customWidth="1"/>
    <col min="13064" max="13064" width="13.33203125" style="323" customWidth="1"/>
    <col min="13065" max="13065" width="17.33203125" style="323" customWidth="1"/>
    <col min="13066" max="13066" width="15.1640625" style="323" customWidth="1"/>
    <col min="13067" max="13067" width="19.6640625" style="323" customWidth="1"/>
    <col min="13068" max="13070" width="16" style="323" customWidth="1"/>
    <col min="13071" max="13071" width="14.83203125" style="323" customWidth="1"/>
    <col min="13072" max="13072" width="17.33203125" style="323" customWidth="1"/>
    <col min="13073" max="13073" width="14.83203125" style="323" customWidth="1"/>
    <col min="13074" max="13082" width="9" style="323" customWidth="1"/>
    <col min="13083" max="13083" width="7.1640625" style="323" bestFit="1" customWidth="1"/>
    <col min="13084" max="13085" width="9" style="323" customWidth="1"/>
    <col min="13086" max="13090" width="10.33203125" style="323" customWidth="1"/>
    <col min="13091" max="13312" width="9" style="323" customWidth="1"/>
    <col min="13313" max="13313" width="60.33203125" style="323" customWidth="1"/>
    <col min="13314" max="13314" width="2.83203125" style="323" customWidth="1"/>
    <col min="13315" max="13315" width="14.83203125" style="323" customWidth="1"/>
    <col min="13316" max="13316" width="13.83203125" style="323" bestFit="1" customWidth="1"/>
    <col min="13317" max="13317" width="15.33203125" style="323" customWidth="1"/>
    <col min="13318" max="13318" width="14.1640625" style="323" customWidth="1"/>
    <col min="13319" max="13319" width="15.1640625" style="323" customWidth="1"/>
    <col min="13320" max="13320" width="13.33203125" style="323" customWidth="1"/>
    <col min="13321" max="13321" width="17.33203125" style="323" customWidth="1"/>
    <col min="13322" max="13322" width="15.1640625" style="323" customWidth="1"/>
    <col min="13323" max="13323" width="19.6640625" style="323" customWidth="1"/>
    <col min="13324" max="13326" width="16" style="323" customWidth="1"/>
    <col min="13327" max="13327" width="14.83203125" style="323" customWidth="1"/>
    <col min="13328" max="13328" width="17.33203125" style="323" customWidth="1"/>
    <col min="13329" max="13329" width="14.83203125" style="323" customWidth="1"/>
    <col min="13330" max="13338" width="9" style="323" customWidth="1"/>
    <col min="13339" max="13339" width="7.1640625" style="323" bestFit="1" customWidth="1"/>
    <col min="13340" max="13341" width="9" style="323" customWidth="1"/>
    <col min="13342" max="13346" width="10.33203125" style="323" customWidth="1"/>
    <col min="13347" max="13568" width="9" style="323" customWidth="1"/>
    <col min="13569" max="13569" width="60.33203125" style="323" customWidth="1"/>
    <col min="13570" max="13570" width="2.83203125" style="323" customWidth="1"/>
    <col min="13571" max="13571" width="14.83203125" style="323" customWidth="1"/>
    <col min="13572" max="13572" width="13.83203125" style="323" bestFit="1" customWidth="1"/>
    <col min="13573" max="13573" width="15.33203125" style="323" customWidth="1"/>
    <col min="13574" max="13574" width="14.1640625" style="323" customWidth="1"/>
    <col min="13575" max="13575" width="15.1640625" style="323" customWidth="1"/>
    <col min="13576" max="13576" width="13.33203125" style="323" customWidth="1"/>
    <col min="13577" max="13577" width="17.33203125" style="323" customWidth="1"/>
    <col min="13578" max="13578" width="15.1640625" style="323" customWidth="1"/>
    <col min="13579" max="13579" width="19.6640625" style="323" customWidth="1"/>
    <col min="13580" max="13582" width="16" style="323" customWidth="1"/>
    <col min="13583" max="13583" width="14.83203125" style="323" customWidth="1"/>
    <col min="13584" max="13584" width="17.33203125" style="323" customWidth="1"/>
    <col min="13585" max="13585" width="14.83203125" style="323" customWidth="1"/>
    <col min="13586" max="13594" width="9" style="323" customWidth="1"/>
    <col min="13595" max="13595" width="7.1640625" style="323" bestFit="1" customWidth="1"/>
    <col min="13596" max="13597" width="9" style="323" customWidth="1"/>
    <col min="13598" max="13602" width="10.33203125" style="323" customWidth="1"/>
    <col min="13603" max="13824" width="9" style="323" customWidth="1"/>
    <col min="13825" max="13825" width="60.33203125" style="323" customWidth="1"/>
    <col min="13826" max="13826" width="2.83203125" style="323" customWidth="1"/>
    <col min="13827" max="13827" width="14.83203125" style="323" customWidth="1"/>
    <col min="13828" max="13828" width="13.83203125" style="323" bestFit="1" customWidth="1"/>
    <col min="13829" max="13829" width="15.33203125" style="323" customWidth="1"/>
    <col min="13830" max="13830" width="14.1640625" style="323" customWidth="1"/>
    <col min="13831" max="13831" width="15.1640625" style="323" customWidth="1"/>
    <col min="13832" max="13832" width="13.33203125" style="323" customWidth="1"/>
    <col min="13833" max="13833" width="17.33203125" style="323" customWidth="1"/>
    <col min="13834" max="13834" width="15.1640625" style="323" customWidth="1"/>
    <col min="13835" max="13835" width="19.6640625" style="323" customWidth="1"/>
    <col min="13836" max="13838" width="16" style="323" customWidth="1"/>
    <col min="13839" max="13839" width="14.83203125" style="323" customWidth="1"/>
    <col min="13840" max="13840" width="17.33203125" style="323" customWidth="1"/>
    <col min="13841" max="13841" width="14.83203125" style="323" customWidth="1"/>
    <col min="13842" max="13850" width="9" style="323" customWidth="1"/>
    <col min="13851" max="13851" width="7.1640625" style="323" bestFit="1" customWidth="1"/>
    <col min="13852" max="13853" width="9" style="323" customWidth="1"/>
    <col min="13854" max="13858" width="10.33203125" style="323" customWidth="1"/>
    <col min="13859" max="14080" width="9" style="323" customWidth="1"/>
    <col min="14081" max="14081" width="60.33203125" style="323" customWidth="1"/>
    <col min="14082" max="14082" width="2.83203125" style="323" customWidth="1"/>
    <col min="14083" max="14083" width="14.83203125" style="323" customWidth="1"/>
    <col min="14084" max="14084" width="13.83203125" style="323" bestFit="1" customWidth="1"/>
    <col min="14085" max="14085" width="15.33203125" style="323" customWidth="1"/>
    <col min="14086" max="14086" width="14.1640625" style="323" customWidth="1"/>
    <col min="14087" max="14087" width="15.1640625" style="323" customWidth="1"/>
    <col min="14088" max="14088" width="13.33203125" style="323" customWidth="1"/>
    <col min="14089" max="14089" width="17.33203125" style="323" customWidth="1"/>
    <col min="14090" max="14090" width="15.1640625" style="323" customWidth="1"/>
    <col min="14091" max="14091" width="19.6640625" style="323" customWidth="1"/>
    <col min="14092" max="14094" width="16" style="323" customWidth="1"/>
    <col min="14095" max="14095" width="14.83203125" style="323" customWidth="1"/>
    <col min="14096" max="14096" width="17.33203125" style="323" customWidth="1"/>
    <col min="14097" max="14097" width="14.83203125" style="323" customWidth="1"/>
    <col min="14098" max="14106" width="9" style="323" customWidth="1"/>
    <col min="14107" max="14107" width="7.1640625" style="323" bestFit="1" customWidth="1"/>
    <col min="14108" max="14109" width="9" style="323" customWidth="1"/>
    <col min="14110" max="14114" width="10.33203125" style="323" customWidth="1"/>
    <col min="14115" max="14336" width="9" style="323" customWidth="1"/>
    <col min="14337" max="14337" width="60.33203125" style="323" customWidth="1"/>
    <col min="14338" max="14338" width="2.83203125" style="323" customWidth="1"/>
    <col min="14339" max="14339" width="14.83203125" style="323" customWidth="1"/>
    <col min="14340" max="14340" width="13.83203125" style="323" bestFit="1" customWidth="1"/>
    <col min="14341" max="14341" width="15.33203125" style="323" customWidth="1"/>
    <col min="14342" max="14342" width="14.1640625" style="323" customWidth="1"/>
    <col min="14343" max="14343" width="15.1640625" style="323" customWidth="1"/>
    <col min="14344" max="14344" width="13.33203125" style="323" customWidth="1"/>
    <col min="14345" max="14345" width="17.33203125" style="323" customWidth="1"/>
    <col min="14346" max="14346" width="15.1640625" style="323" customWidth="1"/>
    <col min="14347" max="14347" width="19.6640625" style="323" customWidth="1"/>
    <col min="14348" max="14350" width="16" style="323" customWidth="1"/>
    <col min="14351" max="14351" width="14.83203125" style="323" customWidth="1"/>
    <col min="14352" max="14352" width="17.33203125" style="323" customWidth="1"/>
    <col min="14353" max="14353" width="14.83203125" style="323" customWidth="1"/>
    <col min="14354" max="14362" width="9" style="323" customWidth="1"/>
    <col min="14363" max="14363" width="7.1640625" style="323" bestFit="1" customWidth="1"/>
    <col min="14364" max="14365" width="9" style="323" customWidth="1"/>
    <col min="14366" max="14370" width="10.33203125" style="323" customWidth="1"/>
    <col min="14371" max="14592" width="9" style="323" customWidth="1"/>
    <col min="14593" max="14593" width="60.33203125" style="323" customWidth="1"/>
    <col min="14594" max="14594" width="2.83203125" style="323" customWidth="1"/>
    <col min="14595" max="14595" width="14.83203125" style="323" customWidth="1"/>
    <col min="14596" max="14596" width="13.83203125" style="323" bestFit="1" customWidth="1"/>
    <col min="14597" max="14597" width="15.33203125" style="323" customWidth="1"/>
    <col min="14598" max="14598" width="14.1640625" style="323" customWidth="1"/>
    <col min="14599" max="14599" width="15.1640625" style="323" customWidth="1"/>
    <col min="14600" max="14600" width="13.33203125" style="323" customWidth="1"/>
    <col min="14601" max="14601" width="17.33203125" style="323" customWidth="1"/>
    <col min="14602" max="14602" width="15.1640625" style="323" customWidth="1"/>
    <col min="14603" max="14603" width="19.6640625" style="323" customWidth="1"/>
    <col min="14604" max="14606" width="16" style="323" customWidth="1"/>
    <col min="14607" max="14607" width="14.83203125" style="323" customWidth="1"/>
    <col min="14608" max="14608" width="17.33203125" style="323" customWidth="1"/>
    <col min="14609" max="14609" width="14.83203125" style="323" customWidth="1"/>
    <col min="14610" max="14618" width="9" style="323" customWidth="1"/>
    <col min="14619" max="14619" width="7.1640625" style="323" bestFit="1" customWidth="1"/>
    <col min="14620" max="14621" width="9" style="323" customWidth="1"/>
    <col min="14622" max="14626" width="10.33203125" style="323" customWidth="1"/>
    <col min="14627" max="14848" width="9" style="323" customWidth="1"/>
    <col min="14849" max="14849" width="60.33203125" style="323" customWidth="1"/>
    <col min="14850" max="14850" width="2.83203125" style="323" customWidth="1"/>
    <col min="14851" max="14851" width="14.83203125" style="323" customWidth="1"/>
    <col min="14852" max="14852" width="13.83203125" style="323" bestFit="1" customWidth="1"/>
    <col min="14853" max="14853" width="15.33203125" style="323" customWidth="1"/>
    <col min="14854" max="14854" width="14.1640625" style="323" customWidth="1"/>
    <col min="14855" max="14855" width="15.1640625" style="323" customWidth="1"/>
    <col min="14856" max="14856" width="13.33203125" style="323" customWidth="1"/>
    <col min="14857" max="14857" width="17.33203125" style="323" customWidth="1"/>
    <col min="14858" max="14858" width="15.1640625" style="323" customWidth="1"/>
    <col min="14859" max="14859" width="19.6640625" style="323" customWidth="1"/>
    <col min="14860" max="14862" width="16" style="323" customWidth="1"/>
    <col min="14863" max="14863" width="14.83203125" style="323" customWidth="1"/>
    <col min="14864" max="14864" width="17.33203125" style="323" customWidth="1"/>
    <col min="14865" max="14865" width="14.83203125" style="323" customWidth="1"/>
    <col min="14866" max="14874" width="9" style="323" customWidth="1"/>
    <col min="14875" max="14875" width="7.1640625" style="323" bestFit="1" customWidth="1"/>
    <col min="14876" max="14877" width="9" style="323" customWidth="1"/>
    <col min="14878" max="14882" width="10.33203125" style="323" customWidth="1"/>
    <col min="14883" max="15104" width="9" style="323" customWidth="1"/>
    <col min="15105" max="15105" width="60.33203125" style="323" customWidth="1"/>
    <col min="15106" max="15106" width="2.83203125" style="323" customWidth="1"/>
    <col min="15107" max="15107" width="14.83203125" style="323" customWidth="1"/>
    <col min="15108" max="15108" width="13.83203125" style="323" bestFit="1" customWidth="1"/>
    <col min="15109" max="15109" width="15.33203125" style="323" customWidth="1"/>
    <col min="15110" max="15110" width="14.1640625" style="323" customWidth="1"/>
    <col min="15111" max="15111" width="15.1640625" style="323" customWidth="1"/>
    <col min="15112" max="15112" width="13.33203125" style="323" customWidth="1"/>
    <col min="15113" max="15113" width="17.33203125" style="323" customWidth="1"/>
    <col min="15114" max="15114" width="15.1640625" style="323" customWidth="1"/>
    <col min="15115" max="15115" width="19.6640625" style="323" customWidth="1"/>
    <col min="15116" max="15118" width="16" style="323" customWidth="1"/>
    <col min="15119" max="15119" width="14.83203125" style="323" customWidth="1"/>
    <col min="15120" max="15120" width="17.33203125" style="323" customWidth="1"/>
    <col min="15121" max="15121" width="14.83203125" style="323" customWidth="1"/>
    <col min="15122" max="15130" width="9" style="323" customWidth="1"/>
    <col min="15131" max="15131" width="7.1640625" style="323" bestFit="1" customWidth="1"/>
    <col min="15132" max="15133" width="9" style="323" customWidth="1"/>
    <col min="15134" max="15138" width="10.33203125" style="323" customWidth="1"/>
    <col min="15139" max="15360" width="9" style="323" customWidth="1"/>
    <col min="15361" max="15361" width="60.33203125" style="323" customWidth="1"/>
    <col min="15362" max="15362" width="2.83203125" style="323" customWidth="1"/>
    <col min="15363" max="15363" width="14.83203125" style="323" customWidth="1"/>
    <col min="15364" max="15364" width="13.83203125" style="323" bestFit="1" customWidth="1"/>
    <col min="15365" max="15365" width="15.33203125" style="323" customWidth="1"/>
    <col min="15366" max="15366" width="14.1640625" style="323" customWidth="1"/>
    <col min="15367" max="15367" width="15.1640625" style="323" customWidth="1"/>
    <col min="15368" max="15368" width="13.33203125" style="323" customWidth="1"/>
    <col min="15369" max="15369" width="17.33203125" style="323" customWidth="1"/>
    <col min="15370" max="15370" width="15.1640625" style="323" customWidth="1"/>
    <col min="15371" max="15371" width="19.6640625" style="323" customWidth="1"/>
    <col min="15372" max="15374" width="16" style="323" customWidth="1"/>
    <col min="15375" max="15375" width="14.83203125" style="323" customWidth="1"/>
    <col min="15376" max="15376" width="17.33203125" style="323" customWidth="1"/>
    <col min="15377" max="15377" width="14.83203125" style="323" customWidth="1"/>
    <col min="15378" max="15386" width="9" style="323" customWidth="1"/>
    <col min="15387" max="15387" width="7.1640625" style="323" bestFit="1" customWidth="1"/>
    <col min="15388" max="15389" width="9" style="323" customWidth="1"/>
    <col min="15390" max="15394" width="10.33203125" style="323" customWidth="1"/>
    <col min="15395" max="15616" width="9" style="323" customWidth="1"/>
    <col min="15617" max="15617" width="60.33203125" style="323" customWidth="1"/>
    <col min="15618" max="15618" width="2.83203125" style="323" customWidth="1"/>
    <col min="15619" max="15619" width="14.83203125" style="323" customWidth="1"/>
    <col min="15620" max="15620" width="13.83203125" style="323" bestFit="1" customWidth="1"/>
    <col min="15621" max="15621" width="15.33203125" style="323" customWidth="1"/>
    <col min="15622" max="15622" width="14.1640625" style="323" customWidth="1"/>
    <col min="15623" max="15623" width="15.1640625" style="323" customWidth="1"/>
    <col min="15624" max="15624" width="13.33203125" style="323" customWidth="1"/>
    <col min="15625" max="15625" width="17.33203125" style="323" customWidth="1"/>
    <col min="15626" max="15626" width="15.1640625" style="323" customWidth="1"/>
    <col min="15627" max="15627" width="19.6640625" style="323" customWidth="1"/>
    <col min="15628" max="15630" width="16" style="323" customWidth="1"/>
    <col min="15631" max="15631" width="14.83203125" style="323" customWidth="1"/>
    <col min="15632" max="15632" width="17.33203125" style="323" customWidth="1"/>
    <col min="15633" max="15633" width="14.83203125" style="323" customWidth="1"/>
    <col min="15634" max="15642" width="9" style="323" customWidth="1"/>
    <col min="15643" max="15643" width="7.1640625" style="323" bestFit="1" customWidth="1"/>
    <col min="15644" max="15645" width="9" style="323" customWidth="1"/>
    <col min="15646" max="15650" width="10.33203125" style="323" customWidth="1"/>
    <col min="15651" max="15872" width="9" style="323" customWidth="1"/>
    <col min="15873" max="15873" width="60.33203125" style="323" customWidth="1"/>
    <col min="15874" max="15874" width="2.83203125" style="323" customWidth="1"/>
    <col min="15875" max="15875" width="14.83203125" style="323" customWidth="1"/>
    <col min="15876" max="15876" width="13.83203125" style="323" bestFit="1" customWidth="1"/>
    <col min="15877" max="15877" width="15.33203125" style="323" customWidth="1"/>
    <col min="15878" max="15878" width="14.1640625" style="323" customWidth="1"/>
    <col min="15879" max="15879" width="15.1640625" style="323" customWidth="1"/>
    <col min="15880" max="15880" width="13.33203125" style="323" customWidth="1"/>
    <col min="15881" max="15881" width="17.33203125" style="323" customWidth="1"/>
    <col min="15882" max="15882" width="15.1640625" style="323" customWidth="1"/>
    <col min="15883" max="15883" width="19.6640625" style="323" customWidth="1"/>
    <col min="15884" max="15886" width="16" style="323" customWidth="1"/>
    <col min="15887" max="15887" width="14.83203125" style="323" customWidth="1"/>
    <col min="15888" max="15888" width="17.33203125" style="323" customWidth="1"/>
    <col min="15889" max="15889" width="14.83203125" style="323" customWidth="1"/>
    <col min="15890" max="15898" width="9" style="323" customWidth="1"/>
    <col min="15899" max="15899" width="7.1640625" style="323" bestFit="1" customWidth="1"/>
    <col min="15900" max="15901" width="9" style="323" customWidth="1"/>
    <col min="15902" max="15906" width="10.33203125" style="323" customWidth="1"/>
    <col min="15907" max="16128" width="9" style="323" customWidth="1"/>
    <col min="16129" max="16129" width="60.33203125" style="323" customWidth="1"/>
    <col min="16130" max="16130" width="2.83203125" style="323" customWidth="1"/>
    <col min="16131" max="16131" width="14.83203125" style="323" customWidth="1"/>
    <col min="16132" max="16132" width="13.83203125" style="323" bestFit="1" customWidth="1"/>
    <col min="16133" max="16133" width="15.33203125" style="323" customWidth="1"/>
    <col min="16134" max="16134" width="14.1640625" style="323" customWidth="1"/>
    <col min="16135" max="16135" width="15.1640625" style="323" customWidth="1"/>
    <col min="16136" max="16136" width="13.33203125" style="323" customWidth="1"/>
    <col min="16137" max="16137" width="17.33203125" style="323" customWidth="1"/>
    <col min="16138" max="16138" width="15.1640625" style="323" customWidth="1"/>
    <col min="16139" max="16139" width="19.6640625" style="323" customWidth="1"/>
    <col min="16140" max="16142" width="16" style="323" customWidth="1"/>
    <col min="16143" max="16143" width="14.83203125" style="323" customWidth="1"/>
    <col min="16144" max="16144" width="17.33203125" style="323" customWidth="1"/>
    <col min="16145" max="16145" width="14.83203125" style="323" customWidth="1"/>
    <col min="16146" max="16154" width="9" style="323" customWidth="1"/>
    <col min="16155" max="16155" width="7.1640625" style="323" bestFit="1" customWidth="1"/>
    <col min="16156" max="16157" width="9" style="323" customWidth="1"/>
    <col min="16158" max="16162" width="10.33203125" style="323" customWidth="1"/>
    <col min="16163" max="16384" width="9" style="323" customWidth="1"/>
  </cols>
  <sheetData>
    <row r="1" spans="1:27" x14ac:dyDescent="0.2">
      <c r="A1" s="322" t="s">
        <v>0</v>
      </c>
      <c r="B1" s="902" t="str">
        <f>'Cover Page'!D1</f>
        <v>Pima Rose Academy, Inc.</v>
      </c>
      <c r="C1" s="902"/>
      <c r="D1" s="902"/>
      <c r="E1" s="902"/>
      <c r="G1" s="322" t="s">
        <v>1</v>
      </c>
      <c r="H1" s="902" t="str">
        <f>'Cover Page'!M1</f>
        <v>Pima</v>
      </c>
      <c r="I1" s="902"/>
      <c r="K1" s="322" t="s">
        <v>2</v>
      </c>
      <c r="L1" s="325" t="str">
        <f>'Cover Page'!R1</f>
        <v>108602000</v>
      </c>
      <c r="M1" s="326"/>
      <c r="N1" s="326"/>
      <c r="O1" s="327"/>
      <c r="P1" s="328"/>
    </row>
    <row r="2" spans="1:27" x14ac:dyDescent="0.2">
      <c r="A2" s="322"/>
      <c r="B2" s="322"/>
      <c r="C2" s="332"/>
      <c r="D2" s="326"/>
      <c r="E2" s="333"/>
      <c r="F2" s="333"/>
      <c r="G2" s="333"/>
      <c r="H2" s="322"/>
      <c r="I2" s="326"/>
      <c r="J2" s="326"/>
      <c r="K2" s="326"/>
      <c r="L2" s="333"/>
      <c r="M2" s="326"/>
      <c r="N2" s="326"/>
      <c r="O2" s="327"/>
      <c r="P2" s="327"/>
      <c r="Q2" s="334"/>
    </row>
    <row r="3" spans="1:27" x14ac:dyDescent="0.2">
      <c r="A3" s="661" t="s">
        <v>726</v>
      </c>
      <c r="B3"/>
      <c r="C3" t="s">
        <v>416</v>
      </c>
      <c r="D3" s="561"/>
      <c r="E3" s="561"/>
      <c r="F3" s="561"/>
      <c r="G3" s="561"/>
      <c r="H3" s="561"/>
      <c r="I3" s="561"/>
      <c r="J3" s="561"/>
      <c r="K3" s="561"/>
      <c r="L3" s="561"/>
      <c r="M3" s="561"/>
      <c r="N3" s="327"/>
    </row>
    <row r="4" spans="1:27" ht="24" customHeight="1" x14ac:dyDescent="0.2">
      <c r="L4" s="327"/>
      <c r="M4" s="561"/>
      <c r="N4" s="561"/>
    </row>
    <row r="5" spans="1:27" x14ac:dyDescent="0.2">
      <c r="A5" s="907"/>
      <c r="B5" s="34"/>
      <c r="C5" s="335"/>
      <c r="D5" s="909" t="s">
        <v>351</v>
      </c>
      <c r="E5" s="910"/>
      <c r="F5" s="910"/>
      <c r="G5" s="910"/>
      <c r="H5" s="910"/>
      <c r="I5" s="910"/>
      <c r="J5" s="910"/>
      <c r="K5" s="910"/>
      <c r="L5" s="911"/>
      <c r="M5" s="336" t="s">
        <v>417</v>
      </c>
      <c r="N5" s="912" t="s">
        <v>283</v>
      </c>
    </row>
    <row r="6" spans="1:27" x14ac:dyDescent="0.2">
      <c r="A6" s="908"/>
      <c r="D6" s="337"/>
      <c r="E6" s="338"/>
      <c r="F6" s="338" t="s">
        <v>150</v>
      </c>
      <c r="G6" s="338"/>
      <c r="H6" s="338"/>
      <c r="I6" s="338"/>
      <c r="J6" s="338"/>
      <c r="K6" s="338" t="s">
        <v>94</v>
      </c>
      <c r="L6" s="339"/>
      <c r="N6" s="913"/>
    </row>
    <row r="7" spans="1:27" x14ac:dyDescent="0.2">
      <c r="D7" s="340"/>
      <c r="E7" s="341" t="s">
        <v>85</v>
      </c>
      <c r="F7" s="341" t="s">
        <v>92</v>
      </c>
      <c r="G7" s="341"/>
      <c r="H7" s="341" t="s">
        <v>352</v>
      </c>
      <c r="I7" s="341" t="s">
        <v>418</v>
      </c>
      <c r="J7" s="341"/>
      <c r="K7" s="342" t="s">
        <v>353</v>
      </c>
      <c r="L7" s="343"/>
      <c r="M7" s="344" t="s">
        <v>419</v>
      </c>
      <c r="N7" s="913"/>
    </row>
    <row r="8" spans="1:27" ht="12" customHeight="1" x14ac:dyDescent="0.2">
      <c r="A8" s="915" t="s">
        <v>420</v>
      </c>
      <c r="B8" s="915"/>
      <c r="C8" s="916"/>
      <c r="D8" s="341" t="s">
        <v>90</v>
      </c>
      <c r="E8" s="345" t="s">
        <v>91</v>
      </c>
      <c r="F8" s="345" t="s">
        <v>354</v>
      </c>
      <c r="G8" s="345" t="s">
        <v>93</v>
      </c>
      <c r="H8" s="345" t="s">
        <v>355</v>
      </c>
      <c r="I8" s="345" t="s">
        <v>421</v>
      </c>
      <c r="J8" s="345" t="s">
        <v>356</v>
      </c>
      <c r="K8" s="342" t="s">
        <v>422</v>
      </c>
      <c r="L8" s="346" t="s">
        <v>358</v>
      </c>
      <c r="M8" s="344" t="s">
        <v>423</v>
      </c>
      <c r="N8" s="913"/>
    </row>
    <row r="9" spans="1:27" x14ac:dyDescent="0.2">
      <c r="A9" s="917"/>
      <c r="B9" s="917"/>
      <c r="C9" s="918"/>
      <c r="D9" s="347">
        <v>6100</v>
      </c>
      <c r="E9" s="347">
        <v>6200</v>
      </c>
      <c r="F9" s="347">
        <v>6500</v>
      </c>
      <c r="G9" s="347">
        <v>6600</v>
      </c>
      <c r="H9" s="347">
        <v>6810</v>
      </c>
      <c r="I9" s="347">
        <v>6820</v>
      </c>
      <c r="J9" s="347">
        <v>6890</v>
      </c>
      <c r="K9" s="347" t="s">
        <v>424</v>
      </c>
      <c r="L9" s="346" t="s">
        <v>361</v>
      </c>
      <c r="M9" s="348" t="s">
        <v>425</v>
      </c>
      <c r="N9" s="914"/>
    </row>
    <row r="10" spans="1:27" ht="12.75" customHeight="1" x14ac:dyDescent="0.2">
      <c r="A10" s="349" t="s">
        <v>197</v>
      </c>
      <c r="B10" s="350"/>
      <c r="C10" s="351" t="s">
        <v>24</v>
      </c>
      <c r="D10" s="352">
        <f t="array" ref="D10">SUM(SUMIFS('Accounting data'!G2:G65536,'Accounting data'!H2:H65536,"1310-1399-C*",'Accounting data'!I2:I65536,{"1*","2*","3*","4*","5*","6*"},'Accounting data'!J2:J65536,"1*",'Accounting data'!K2:K65536,"61*"))+SUM(SUMIFS('Accounting data'!G2:G65536,'Accounting data'!H2:H65536,"1227*",'Accounting data'!I2:I65536,{"1*","2*","3*","4*","5*","6*"},'Accounting data'!J2:J65536,"1*",'Accounting data'!K2:K65536,"61*"))+SUM(SUMIFS('Accounting data'!G2:G65536,'Accounting data'!H2:H65536,"1228*",'Accounting data'!I2:I65536,{"1*","2*","3*","4*","5*","6*"},'Accounting data'!J2:J65536,"1*",'Accounting data'!K2:K65536,"61*"))</f>
        <v>0</v>
      </c>
      <c r="E10" s="352">
        <f t="array" ref="E10">SUM(SUMIFS('Accounting data'!G2:G65536,'Accounting data'!H2:H65536,"1310-1399-C*",'Accounting data'!I2:I65536,{"1*","2*","3*","4*","5*","6*"},'Accounting data'!J2:J65536,"1*",'Accounting data'!K2:K65536,"62*"))+SUM(SUMIFS('Accounting data'!G2:G65536,'Accounting data'!H2:H65536,"1227*",'Accounting data'!I2:I65536,{"1*","2*","3*","4*","5*","6*"},'Accounting data'!J2:J65536,"1*",'Accounting data'!K2:K65536,"62*"))+SUM(SUMIFS('Accounting data'!G2:G65536,'Accounting data'!H2:H65536,"1228*",'Accounting data'!I2:I65536,{"1*","2*","3*","4*","5*","6*"},'Accounting data'!J2:J65536,"1*",'Accounting data'!K2:K65536,"62*"))</f>
        <v>0</v>
      </c>
      <c r="F10" s="352">
        <f t="array" ref="F10">SUM(SUMIFS('Accounting data'!G2:G65536,'Accounting data'!H2:H65536,"1310-1399-C*",'Accounting data'!I2:I65536,{"1*","2*","3*","4*","5*","6*"},'Accounting data'!J2:J65536,"1*",'Accounting data'!K2:K65536,"63*"))+SUM(SUMIFS('Accounting data'!G2:G65536,'Accounting data'!H2:H65536,"1227*",'Accounting data'!I2:I65536,{"1*","2*","3*","4*","5*","6*"},'Accounting data'!J2:J65536,"1*",'Accounting data'!K2:K65536,"63*"))+SUM(SUMIFS('Accounting data'!G2:G65536,'Accounting data'!H2:H65536,"1228*",'Accounting data'!I2:I65536,{"1*","2*","3*","4*","5*","6*"},'Accounting data'!J2:J65536,"1*",'Accounting data'!K2:K65536,"63*"))</f>
        <v>36640</v>
      </c>
      <c r="G10" s="352">
        <f t="array" ref="G10">SUM(SUMIFS('Accounting data'!G2:G65536,'Accounting data'!H2:H65536,"1310-1399-C*",'Accounting data'!I2:I65536,{"1*","2*","3*","4*","5*","6*"},'Accounting data'!J2:J65536,"1*",'Accounting data'!K2:K65536,"66*"))+SUM(SUMIFS('Accounting data'!G2:G65536,'Accounting data'!H2:H65536,"1227*",'Accounting data'!I2:I65536,{"1*","2*","3*","4*","5*","6*"},'Accounting data'!J2:J65536,"1*",'Accounting data'!K2:K65536,"66*"))+SUM(SUMIFS('Accounting data'!G2:G65536,'Accounting data'!H2:H65536,"1228*",'Accounting data'!I2:I65536,{"1*","2*","3*","4*","5*","6*"},'Accounting data'!J2:J65536,"1*",'Accounting data'!K2:K65536,"66*"))</f>
        <v>1385</v>
      </c>
      <c r="H10" s="352">
        <f t="array" ref="H10">SUM(SUMIFS('Accounting data'!G2:G65536,'Accounting data'!H2:H65536,"1310-1399-C*",'Accounting data'!I2:I65536,{"1*","2*","3*","4*","5*","6*"},'Accounting data'!J2:J65536,"1*",'Accounting data'!K2:K65536,"681*"))+SUM(SUMIFS('Accounting data'!G2:G65536,'Accounting data'!H2:H65536,"1227*",'Accounting data'!I2:I65536,{"1*","2*","3*","4*","5*","6*"},'Accounting data'!J2:J65536,"1*",'Accounting data'!K2:K65536,"681*"))+SUM(SUMIFS('Accounting data'!G2:G65536,'Accounting data'!H2:H65536,"1228*",'Accounting data'!I2:I65536,{"1*","2*","3*","4*","5*","6*"},'Accounting data'!J2:J65536,"1*",'Accounting data'!K2:K65536,"681*"))</f>
        <v>0</v>
      </c>
      <c r="I10" s="353"/>
      <c r="J10" s="352">
        <f t="array" ref="J10">SUM(SUMIFS('Accounting data'!G2:G65536,'Accounting data'!H2:H65536,"1310-1399-C*",'Accounting data'!I2:I65536,{"1*","2*","3*","4*","5*","6*"},'Accounting data'!J2:J65536,"1*",'Accounting data'!K2:K65536,"689*"))+SUM(SUMIFS('Accounting data'!G2:G65536,'Accounting data'!H2:H65536,"1227*",'Accounting data'!I2:I65536,{"1*","2*","3*","4*","5*","6*"},'Accounting data'!J2:J65536,"1*",'Accounting data'!K2:K65536,"689*"))+SUM(SUMIFS('Accounting data'!G2:G65536,'Accounting data'!H2:H65536,"1228*",'Accounting data'!I2:I65536,{"1*","2*","3*","4*","5*","6*"},'Accounting data'!J2:J65536,"1*",'Accounting data'!K2:K65536,"689*"))</f>
        <v>0</v>
      </c>
      <c r="K10" s="352">
        <f t="array" ref="K10">SUM(SUMIFS('Accounting data'!G2:G65536,'Accounting data'!H2:H65536,"1310-1399-C*",'Accounting data'!I2:I65536,{"1*","2*","3*","4*","5*","6*"},'Accounting data'!J2:J65536,"1*",'Accounting data'!K2:K65536,"683*"))+SUM(SUMIFS('Accounting data'!G2:G65536,'Accounting data'!H2:H65536,"1227*",'Accounting data'!I2:I65536,{"1*","2*","3*","4*","5*","6*"},'Accounting data'!J2:J65536,"1*",'Accounting data'!K2:K65536,"683*"))+SUM(SUMIFS('Accounting data'!G2:G65536,'Accounting data'!H2:H65536,"1228*",'Accounting data'!I2:I65536,{"1*","2*","3*","4*","5*","6*"},'Accounting data'!J2:J65536,"1*",'Accounting data'!K2:K65536,"683*"))</f>
        <v>0</v>
      </c>
      <c r="L10" s="35">
        <v>0</v>
      </c>
      <c r="M10" s="352">
        <f t="array" ref="M10">SUM(SUMIFS('Accounting data'!G2:G65536,'Accounting data'!H2:H65536,"1310-1399-C*",'Accounting data'!I2:I65536,{"7*","8*","9*"},'Accounting data'!J2:J65536,"1*",'Accounting data'!K2:K65536,"6*"))-SUM(SUMIFS('Accounting data'!G2:G65536,'Accounting data'!H2:H65536,"1310-1399-C*",'Accounting data'!I2:I65536,{"7*","8*","9*"},'Accounting data'!J2:J65536,"1*",'Accounting data'!K2:K65536,"69*"))+SUM(SUMIFS('Accounting data'!G2:G65536,'Accounting data'!H2:H65536,"1227*",'Accounting data'!I2:I65536,{"7*","8*","9*"},'Accounting data'!J2:J65536,"1*",'Accounting data'!K2:K65536,"6*"))-SUM(SUMIFS('Accounting data'!G2:G65536,'Accounting data'!H2:H65536,"1227*",'Accounting data'!I2:I65536,{"7*","8*","9*"},'Accounting data'!J2:J65536,"1*",'Accounting data'!K2:K65536,"69*"))+SUM(SUMIFS('Accounting data'!G2:G65536,'Accounting data'!H2:H65536,"1228*",'Accounting data'!I2:I65536,{"7*","8*","9*"},'Accounting data'!J2:J65536,"1*",'Accounting data'!K2:K65536,"6*"))-SUM(SUMIFS('Accounting data'!G2:G65536,'Accounting data'!H2:H65536,"1228*",'Accounting data'!I2:I65536,{"7*","8*","9*"},'Accounting data'!J2:J65536,"1*",'Accounting data'!K2:K65536,"69*"))</f>
        <v>0</v>
      </c>
      <c r="N10" s="354">
        <f t="shared" ref="N10:N19" si="0">ROUND(SUM(D10:M10),0)</f>
        <v>38025</v>
      </c>
      <c r="O10" s="355"/>
    </row>
    <row r="11" spans="1:27" x14ac:dyDescent="0.2">
      <c r="A11" s="356" t="s">
        <v>426</v>
      </c>
      <c r="B11" s="584"/>
      <c r="C11" s="357" t="s">
        <v>26</v>
      </c>
      <c r="D11" s="352">
        <f t="array" ref="D11">SUM(SUMIFS('Accounting data'!G2:G65536,'Accounting data'!H2:H65536,"1310-1399-C*",'Accounting data'!I2:I65536,{"1*","2*","3*","4*","5*","6*"},'Accounting data'!J2:J65536,"21*",'Accounting data'!K2:K65536,"61*"))+SUM(SUMIFS('Accounting data'!G2:G65536,'Accounting data'!H2:H65536,"1310-1399-C*",'Accounting data'!I2:I65536,{"1*","2*","3*","4*","5*","6*"},'Accounting data'!J2:J65536,"22*",'Accounting data'!K2:K65536,"61*"))+SUM(SUMIFS('Accounting data'!G2:G65536,'Accounting data'!H2:H65536,"1227*",'Accounting data'!I2:I65536,{"1*","2*","3*","4*","5*","6*"},'Accounting data'!J2:J65536,"21*",'Accounting data'!K2:K65536,"61*"))+SUM(SUMIFS('Accounting data'!G2:G65536,'Accounting data'!H2:H65536,"1227*",'Accounting data'!I2:I65536,{"1*","2*","3*","4*","5*","6*"},'Accounting data'!J2:J65536,"22*",'Accounting data'!K2:K65536,"61*"))+SUM(SUMIFS('Accounting data'!G2:G65536,'Accounting data'!H2:H65536,"1228*",'Accounting data'!I2:I65536,{"1*","2*","3*","4*","5*","6*"},'Accounting data'!J2:J65536,"21*",'Accounting data'!K2:K65536,"61*"))+SUM(SUMIFS('Accounting data'!G2:G65536,'Accounting data'!H2:H65536,"1228*",'Accounting data'!I2:I65536,{"1*","2*","3*","4*","5*","6*"},'Accounting data'!J2:J65536,"22*",'Accounting data'!K2:K65536,"61*"))</f>
        <v>0</v>
      </c>
      <c r="E11" s="352">
        <f t="array" ref="E11">SUM(SUMIFS('Accounting data'!G2:G65536,'Accounting data'!H2:H65536,"1310-1399-C*",'Accounting data'!I2:I65536,{"1*","2*","3*","4*","5*","6*"},'Accounting data'!J2:J65536,"21*",'Accounting data'!K2:K65536,"62*"))+SUM(SUMIFS('Accounting data'!G2:G65536,'Accounting data'!H2:H65536,"1310-1399-C*",'Accounting data'!I2:I65536,{"1*","2*","3*","4*","5*","6*"},'Accounting data'!J2:J65536,"22*",'Accounting data'!K2:K65536,"62*"))+SUM(SUMIFS('Accounting data'!G2:G65536,'Accounting data'!H2:H65536,"1227*",'Accounting data'!I2:I65536,{"1*","2*","3*","4*","5*","6*"},'Accounting data'!J2:J65536,"21*",'Accounting data'!K2:K65536,"62*"))+SUM(SUMIFS('Accounting data'!G2:G65536,'Accounting data'!H2:H65536,"1227*",'Accounting data'!I2:I65536,{"1*","2*","3*","4*","5*","6*"},'Accounting data'!J2:J65536,"22*",'Accounting data'!K2:K65536,"62*"))+SUM(SUMIFS('Accounting data'!G2:G65536,'Accounting data'!H2:H65536,"1228*",'Accounting data'!I2:I65536,{"1*","2*","3*","4*","5*","6*"},'Accounting data'!J2:J65536,"21*",'Accounting data'!K2:K65536,"62*"))+SUM(SUMIFS('Accounting data'!G2:G65536,'Accounting data'!H2:H65536,"1228*",'Accounting data'!I2:I65536,{"1*","2*","3*","4*","5*","6*"},'Accounting data'!J2:J65536,"22*",'Accounting data'!K2:K65536,"62*"))</f>
        <v>0</v>
      </c>
      <c r="F11" s="352">
        <f t="array" ref="F11">SUM(SUMIFS('Accounting data'!G2:G65536,'Accounting data'!H2:H65536,"1310-1399-C*",'Accounting data'!I2:I65536,{"1*","2*","3*","4*","5*","6*"},'Accounting data'!J2:J65536,"21*",'Accounting data'!K2:K65536,"63*"))+SUM(SUMIFS('Accounting data'!G2:G65536,'Accounting data'!H2:H65536,"1310-1399-C*",'Accounting data'!I2:I65536,{"1*","2*","3*","4*","5*","6*"},'Accounting data'!J2:J65536,"22*",'Accounting data'!K2:K65536,"63*"))+SUM(SUMIFS('Accounting data'!G2:G65536,'Accounting data'!H2:H65536,"1227*",'Accounting data'!I2:I65536,{"1*","2*","3*","4*","5*","6*"},'Accounting data'!J2:J65536,"21*",'Accounting data'!K2:K65536,"63*"))+SUM(SUMIFS('Accounting data'!G2:G65536,'Accounting data'!H2:H65536,"1227*",'Accounting data'!I2:I65536,{"1*","2*","3*","4*","5*","6*"},'Accounting data'!J2:J65536,"22*",'Accounting data'!K2:K65536,"63*"))+SUM(SUMIFS('Accounting data'!G2:G65536,'Accounting data'!H2:H65536,"1228*",'Accounting data'!I2:I65536,{"1*","2*","3*","4*","5*","6*"},'Accounting data'!J2:J65536,"21*",'Accounting data'!K2:K65536,"63*"))+SUM(SUMIFS('Accounting data'!G2:G65536,'Accounting data'!H2:H65536,"1228*",'Accounting data'!I2:I65536,{"1*","2*","3*","4*","5*","6*"},'Accounting data'!J2:J65536,"22*",'Accounting data'!K2:K65536,"63*"))</f>
        <v>0</v>
      </c>
      <c r="G11" s="352">
        <f t="array" ref="G11">SUM(SUMIFS('Accounting data'!G2:G65536,'Accounting data'!H2:H65536,"1310-1399-C*",'Accounting data'!I2:I65536,{"1*","2*","3*","4*","5*","6*"},'Accounting data'!J2:J65536,"21*",'Accounting data'!K2:K65536,"66*"))+SUM(SUMIFS('Accounting data'!G2:G65536,'Accounting data'!H2:H65536,"1310-1399-C*",'Accounting data'!I2:I65536,{"1*","2*","3*","4*","5*","6*"},'Accounting data'!J2:J65536,"22*",'Accounting data'!K2:K65536,"66*"))+SUM(SUMIFS('Accounting data'!G2:G65536,'Accounting data'!H2:H65536,"1227*",'Accounting data'!I2:I65536,{"1*","2*","3*","4*","5*","6*"},'Accounting data'!J2:J65536,"21*",'Accounting data'!K2:K65536,"66*"))+SUM(SUMIFS('Accounting data'!G2:G65536,'Accounting data'!H2:H65536,"1227*",'Accounting data'!I2:I65536,{"1*","2*","3*","4*","5*","6*"},'Accounting data'!J2:J65536,"22*",'Accounting data'!K2:K65536,"66*"))+SUM(SUMIFS('Accounting data'!G2:G65536,'Accounting data'!H2:H65536,"1228*",'Accounting data'!I2:I65536,{"1*","2*","3*","4*","5*","6*"},'Accounting data'!J2:J65536,"21*",'Accounting data'!K2:K65536,"66*"))+SUM(SUMIFS('Accounting data'!G2:G65536,'Accounting data'!H2:H65536,"1228*",'Accounting data'!I2:I65536,{"1*","2*","3*","4*","5*","6*"},'Accounting data'!J2:J65536,"22*",'Accounting data'!K2:K65536,"66*"))</f>
        <v>0</v>
      </c>
      <c r="H11" s="352">
        <f t="array" ref="H11">SUM(SUMIFS('Accounting data'!G2:G65536,'Accounting data'!H2:H65536,"1310-1399-C*",'Accounting data'!I2:I65536,{"1*","2*","3*","4*","5*","6*"},'Accounting data'!J2:J65536,"21*",'Accounting data'!K2:K65536,"681*"))+SUM(SUMIFS('Accounting data'!G2:G65536,'Accounting data'!H2:H65536,"1310-1399-C*",'Accounting data'!I2:I65536,{"1*","2*","3*","4*","5*","6*"},'Accounting data'!J2:J65536,"22*",'Accounting data'!K2:K65536,"681*"))+SUM(SUMIFS('Accounting data'!G2:G65536,'Accounting data'!H2:H65536,"1227*",'Accounting data'!I2:I65536,{"1*","2*","3*","4*","5*","6*"},'Accounting data'!J2:J65536,"21*",'Accounting data'!K2:K65536,"681*"))+SUM(SUMIFS('Accounting data'!G2:G65536,'Accounting data'!H2:H65536,"1227*",'Accounting data'!I2:I65536,{"1*","2*","3*","4*","5*","6*"},'Accounting data'!J2:J65536,"22*",'Accounting data'!K2:K65536,"681*"))+SUM(SUMIFS('Accounting data'!G2:G65536,'Accounting data'!H2:H65536,"1228*",'Accounting data'!I2:I65536,{"1*","2*","3*","4*","5*","6*"},'Accounting data'!J2:J65536,"21*",'Accounting data'!K2:K65536,"681*"))+SUM(SUMIFS('Accounting data'!G2:G65536,'Accounting data'!H2:H65536,"1228*",'Accounting data'!I2:I65536,{"1*","2*","3*","4*","5*","6*"},'Accounting data'!J2:J65536,"22*",'Accounting data'!K2:K65536,"681*"))</f>
        <v>0</v>
      </c>
      <c r="I11" s="353"/>
      <c r="J11" s="352">
        <f t="array" ref="J11">SUM(SUMIFS('Accounting data'!G2:G65536,'Accounting data'!H2:H65536,"1310-1399-C*",'Accounting data'!I2:I65536,{"1*","2*","3*","4*","5*","6*"},'Accounting data'!J2:J65536,"21*",'Accounting data'!K2:K65536,"689*"))+SUM(SUMIFS('Accounting data'!G2:G65536,'Accounting data'!H2:H65536,"1310-1399-C*",'Accounting data'!I2:I65536,{"1*","2*","3*","4*","5*","6*"},'Accounting data'!J2:J65536,"22*",'Accounting data'!K2:K65536,"689*"))+SUM(SUMIFS('Accounting data'!G2:G65536,'Accounting data'!H2:H65536,"1227*",'Accounting data'!I2:I65536,{"1*","2*","3*","4*","5*","6*"},'Accounting data'!J2:J65536,"21*",'Accounting data'!K2:K65536,"689*"))+SUM(SUMIFS('Accounting data'!G2:G65536,'Accounting data'!H2:H65536,"1227*",'Accounting data'!I2:I65536,{"1*","2*","3*","4*","5*","6*"},'Accounting data'!J2:J65536,"22*",'Accounting data'!K2:K65536,"689*"))+SUM(SUMIFS('Accounting data'!G2:G65536,'Accounting data'!H2:H65536,"1228*",'Accounting data'!I2:I65536,{"1*","2*","3*","4*","5*","6*"},'Accounting data'!J2:J65536,"21*",'Accounting data'!K2:K65536,"689*"))+SUM(SUMIFS('Accounting data'!G2:G65536,'Accounting data'!H2:H65536,"1228*",'Accounting data'!I2:I65536,{"1*","2*","3*","4*","5*","6*"},'Accounting data'!J2:J65536,"22*",'Accounting data'!K2:K65536,"689*"))</f>
        <v>0</v>
      </c>
      <c r="K11" s="352">
        <f t="array" ref="K11">SUM(SUMIFS('Accounting data'!G2:G65536,'Accounting data'!H2:H65536,"1310-1399-C*",'Accounting data'!I2:I65536,{"1*","2*","3*","4*","5*","6*"},'Accounting data'!J2:J65536,"21*",'Accounting data'!K2:K65536,"683*"))+SUM(SUMIFS('Accounting data'!G2:G65536,'Accounting data'!H2:H65536,"1310-1399-C*",'Accounting data'!I2:I65536,{"1*","2*","3*","4*","5*","6*"},'Accounting data'!J2:J65536,"22*",'Accounting data'!K2:K65536,"683*"))+SUM(SUMIFS('Accounting data'!G2:G65536,'Accounting data'!H2:H65536,"1227*",'Accounting data'!I2:I65536,{"1*","2*","3*","4*","5*","6*"},'Accounting data'!J2:J65536,"21*",'Accounting data'!K2:K65536,"683*"))+SUM(SUMIFS('Accounting data'!G2:G65536,'Accounting data'!H2:H65536,"1227*",'Accounting data'!I2:I65536,{"1*","2*","3*","4*","5*","6*"},'Accounting data'!J2:J65536,"22*",'Accounting data'!K2:K65536,"683*"))+SUM(SUMIFS('Accounting data'!G2:G65536,'Accounting data'!H2:H65536,"1228*",'Accounting data'!I2:I65536,{"1*","2*","3*","4*","5*","6*"},'Accounting data'!J2:J65536,"21*",'Accounting data'!K2:K65536,"683*"))+SUM(SUMIFS('Accounting data'!G2:G65536,'Accounting data'!H2:H65536,"1228*",'Accounting data'!I2:I65536,{"1*","2*","3*","4*","5*","6*"},'Accounting data'!J2:J65536,"22*",'Accounting data'!K2:K65536,"683*"))</f>
        <v>0</v>
      </c>
      <c r="L11" s="35">
        <v>0</v>
      </c>
      <c r="M11" s="352">
        <f t="array" ref="M11">(SUM(SUMIFS('Accounting data'!G2:G65536,'Accounting data'!H2:H65536,"1310-1399-C*",'Accounting data'!I2:I65536,{"7*","8*","9*"},'Accounting data'!J2:J65536,"21*",'Accounting data'!K2:K65536,"6*"))+SUM(SUMIFS('Accounting data'!G2:G65536,'Accounting data'!H2:H65536,"1310-1399-C*",'Accounting data'!I2:I65536,{"7*","8*","9*"},'Accounting data'!J2:J65536,"22*",'Accounting data'!K2:K65536,"6*")))-(SUM(SUMIFS('Accounting data'!G2:G65536,'Accounting data'!H2:H65536,"1310-1399-C*",'Accounting data'!I2:I65536,{"7*","8*","9*"},'Accounting data'!J2:J65536,"21*",'Accounting data'!K2:K65536,"69*"))+SUM(SUMIFS('Accounting data'!G2:G65536,'Accounting data'!H2:H65536,"1310-1399-C*",'Accounting data'!I2:I65536,{"7*","8*","9*"},'Accounting data'!J2:J65536,"22*",'Accounting data'!K2:K65536,"69*")))+(SUM(SUMIFS('Accounting data'!G2:G65536,'Accounting data'!H2:H65536,"1227*",'Accounting data'!I2:I65536,{"7*","8*","9*"},'Accounting data'!J2:J65536,"21*",'Accounting data'!K2:K65536,"6*"))+SUM(SUMIFS('Accounting data'!G2:G65536,'Accounting data'!H2:H65536,"1227*",'Accounting data'!I2:I65536,{"7*","8*","9*"},'Accounting data'!J2:J65536,"22*",'Accounting data'!K2:K65536,"6*")))-(SUM(SUMIFS('Accounting data'!G2:G65536,'Accounting data'!H2:H65536,"1227*",'Accounting data'!I2:I65536,{"7*","8*","9*"},'Accounting data'!J2:J65536,"21*",'Accounting data'!K2:K65536,"69*"))+SUM(SUMIFS('Accounting data'!G2:G65536,'Accounting data'!H2:H65536,"1227*",'Accounting data'!I2:I65536,{"7*","8*","9*"},'Accounting data'!J2:J65536,"22*",'Accounting data'!K2:K65536,"69*")))+(SUM(SUMIFS('Accounting data'!G2:G65536,'Accounting data'!H2:H65536,"1228*",'Accounting data'!I2:I65536,{"7*","8*","9*"},'Accounting data'!J2:J65536,"21*",'Accounting data'!K2:K65536,"6*"))+SUM(SUMIFS('Accounting data'!G2:G65536,'Accounting data'!H2:H65536,"1228*",'Accounting data'!I2:I65536,{"7*","8*","9*"},'Accounting data'!J2:J65536,"22*",'Accounting data'!K2:K65536,"6*")))-(SUM(SUMIFS('Accounting data'!G2:G65536,'Accounting data'!H2:H65536,"1228*",'Accounting data'!I2:I65536,{"7*","8*","9*"},'Accounting data'!J2:J65536,"21*",'Accounting data'!K2:K65536,"69*"))+SUM(SUMIFS('Accounting data'!G2:G65536,'Accounting data'!H2:H65536,"1228*",'Accounting data'!I2:I65536,{"7*","8*","9*"},'Accounting data'!J2:J65536,"22*",'Accounting data'!K2:K65536,"69*")))</f>
        <v>0</v>
      </c>
      <c r="N11" s="354">
        <f t="shared" si="0"/>
        <v>0</v>
      </c>
      <c r="O11" s="355"/>
    </row>
    <row r="12" spans="1:27" x14ac:dyDescent="0.2">
      <c r="A12" s="356" t="s">
        <v>427</v>
      </c>
      <c r="B12" s="584"/>
      <c r="C12" s="357" t="s">
        <v>28</v>
      </c>
      <c r="D12" s="352">
        <f t="array" ref="D12">SUM(SUMIFS('Accounting data'!G2:G65536,'Accounting data'!H2:H65536,"1310-1399-C*",'Accounting data'!I2:I65536,{"1*","2*","3*","4*","5*","6*"},'Accounting data'!J2:J65536,"23*",'Accounting data'!K2:K65536,"61*"))+SUM(SUMIFS('Accounting data'!G2:G65536,'Accounting data'!H2:H65536,"1310-1399-C*",'Accounting data'!I2:I65536,{"1*","2*","3*","4*","5*","6*"},'Accounting data'!J2:J65536,"25*",'Accounting data'!K2:K65536,"61*"))+SUM(SUMIFS('Accounting data'!G2:G65536,'Accounting data'!H2:H65536,"1310-1399-C*",'Accounting data'!I2:I65536,{"1*","2*","3*","4*","5*","6*"},'Accounting data'!J2:J65536,"29*",'Accounting data'!K2:K65536,"61*"))+SUM(SUMIFS('Accounting data'!G2:G65536,'Accounting data'!H2:H65536,"1227*",'Accounting data'!I2:I65536,{"1*","2*","3*","4*","5*","6*"},'Accounting data'!J2:J65536,"23*",'Accounting data'!K2:K65536,"61*"))+SUM(SUMIFS('Accounting data'!G2:G65536,'Accounting data'!H2:H65536,"1227*",'Accounting data'!I2:I65536,{"1*","2*","3*","4*","5*","6*"},'Accounting data'!J2:J65536,"25*",'Accounting data'!K2:K65536,"61*"))+SUM(SUMIFS('Accounting data'!G2:G65536,'Accounting data'!H2:H65536,"1227*",'Accounting data'!I2:I65536,{"1*","2*","3*","4*","5*","6*"},'Accounting data'!J2:J65536,"29*",'Accounting data'!K2:K65536,"61*"))+SUM(SUMIFS('Accounting data'!G2:G65536,'Accounting data'!H2:H65536,"1228*",'Accounting data'!I2:I65536,{"1*","2*","3*","4*","5*","6*"},'Accounting data'!J2:J65536,"23*",'Accounting data'!K2:K65536,"61*"))+SUM(SUMIFS('Accounting data'!G2:G65536,'Accounting data'!H2:H65536,"1228*",'Accounting data'!I2:I65536,{"1*","2*","3*","4*","5*","6*"},'Accounting data'!J2:J65536,"25*",'Accounting data'!K2:K65536,"61*"))+SUM(SUMIFS('Accounting data'!G2:G65536,'Accounting data'!H2:H65536,"1228*",'Accounting data'!I2:I65536,{"1*","2*","3*","4*","5*","6*"},'Accounting data'!J2:J65536,"29*",'Accounting data'!K2:K65536,"61*"))</f>
        <v>0</v>
      </c>
      <c r="E12" s="352">
        <f t="array" ref="E12">SUM(SUMIFS('Accounting data'!G2:G65536,'Accounting data'!H2:H65536,"1310-1399-C*",'Accounting data'!I2:I65536,{"1*","2*","3*","4*","5*","6*"},'Accounting data'!J2:J65536,"23*",'Accounting data'!K2:K65536,"62*"))+SUM(SUMIFS('Accounting data'!G2:G65536,'Accounting data'!H2:H65536,"1310-1399-C*",'Accounting data'!I2:I65536,{"1*","2*","3*","4*","5*","6*"},'Accounting data'!J2:J65536,"25*",'Accounting data'!K2:K65536,"62*"))+SUM(SUMIFS('Accounting data'!G2:G65536,'Accounting data'!H2:H65536,"1310-1399-C*",'Accounting data'!I2:I65536,{"1*","2*","3*","4*","5*","6*"},'Accounting data'!J2:J65536,"29*",'Accounting data'!K2:K65536,"62*"))+SUM(SUMIFS('Accounting data'!G2:G65536,'Accounting data'!H2:H65536,"1227*",'Accounting data'!I2:I65536,{"1*","2*","3*","4*","5*","6*"},'Accounting data'!J2:J65536,"23*",'Accounting data'!K2:K65536,"62*"))+SUM(SUMIFS('Accounting data'!G2:G65536,'Accounting data'!H2:H65536,"1227*",'Accounting data'!I2:I65536,{"1*","2*","3*","4*","5*","6*"},'Accounting data'!J2:J65536,"25*",'Accounting data'!K2:K65536,"62*"))+SUM(SUMIFS('Accounting data'!G2:G65536,'Accounting data'!H2:H65536,"1227*",'Accounting data'!I2:I65536,{"1*","2*","3*","4*","5*","6*"},'Accounting data'!J2:J65536,"29*",'Accounting data'!K2:K65536,"62*"))+SUM(SUMIFS('Accounting data'!G2:G65536,'Accounting data'!H2:H65536,"1228*",'Accounting data'!I2:I65536,{"1*","2*","3*","4*","5*","6*"},'Accounting data'!J2:J65536,"23*",'Accounting data'!K2:K65536,"62*"))+SUM(SUMIFS('Accounting data'!G2:G65536,'Accounting data'!H2:H65536,"1228*",'Accounting data'!I2:I65536,{"1*","2*","3*","4*","5*","6*"},'Accounting data'!J2:J65536,"25*",'Accounting data'!K2:K65536,"62*"))+SUM(SUMIFS('Accounting data'!G2:G65536,'Accounting data'!H2:H65536,"1228*",'Accounting data'!I2:I65536,{"1*","2*","3*","4*","5*","6*"},'Accounting data'!J2:J65536,"29*",'Accounting data'!K2:K65536,"62*"))</f>
        <v>0</v>
      </c>
      <c r="F12" s="352">
        <f t="array" ref="F12">SUM(SUMIFS('Accounting data'!G2:G65536,'Accounting data'!H2:H65536,"1310-1399-C*",'Accounting data'!I2:I65536,{"1*","2*","3*","4*","5*","6*"},'Accounting data'!J2:J65536,"23*",'Accounting data'!K2:K65536,"63*"))+SUM(SUMIFS('Accounting data'!G2:G65536,'Accounting data'!H2:H65536,"1310-1399-C*",'Accounting data'!I2:I65536,{"1*","2*","3*","4*","5*","6*"},'Accounting data'!J2:J65536,"25*",'Accounting data'!K2:K65536,"63*"))+SUM(SUMIFS('Accounting data'!G2:G65536,'Accounting data'!H2:H65536,"1310-1399-C*",'Accounting data'!I2:I65536,{"1*","2*","3*","4*","5*","6*"},'Accounting data'!J2:J65536,"29*",'Accounting data'!K2:K65536,"63*"))+SUM(SUMIFS('Accounting data'!G2:G65536,'Accounting data'!H2:H65536,"1227*",'Accounting data'!I2:I65536,{"1*","2*","3*","4*","5*","6*"},'Accounting data'!J2:J65536,"23*",'Accounting data'!K2:K65536,"63*"))+SUM(SUMIFS('Accounting data'!G2:G65536,'Accounting data'!H2:H65536,"1227*",'Accounting data'!I2:I65536,{"1*","2*","3*","4*","5*","6*"},'Accounting data'!J2:J65536,"25*",'Accounting data'!K2:K65536,"63*"))+SUM(SUMIFS('Accounting data'!G2:G65536,'Accounting data'!H2:H65536,"1227*",'Accounting data'!I2:I65536,{"1*","2*","3*","4*","5*","6*"},'Accounting data'!J2:J65536,"29*",'Accounting data'!K2:K65536,"63*"))+SUM(SUMIFS('Accounting data'!G2:G65536,'Accounting data'!H2:H65536,"1228*",'Accounting data'!I2:I65536,{"1*","2*","3*","4*","5*","6*"},'Accounting data'!J2:J65536,"23*",'Accounting data'!K2:K65536,"63*"))+SUM(SUMIFS('Accounting data'!G2:G65536,'Accounting data'!H2:H65536,"1228*",'Accounting data'!I2:I65536,{"1*","2*","3*","4*","5*","6*"},'Accounting data'!J2:J65536,"25*",'Accounting data'!K2:K65536,"63*"))+SUM(SUMIFS('Accounting data'!G2:G65536,'Accounting data'!H2:H65536,"1228*",'Accounting data'!I2:I65536,{"1*","2*","3*","4*","5*","6*"},'Accounting data'!J2:J65536,"29*",'Accounting data'!K2:K65536,"63*"))</f>
        <v>0</v>
      </c>
      <c r="G12" s="352">
        <f t="array" ref="G12">SUM(SUMIFS('Accounting data'!G2:G65536,'Accounting data'!H2:H65536,"1310-1399-C*",'Accounting data'!I2:I65536,{"1*","2*","3*","4*","5*","6*"},'Accounting data'!J2:J65536,"23*",'Accounting data'!K2:K65536,"66*"))+SUM(SUMIFS('Accounting data'!G2:G65536,'Accounting data'!H2:H65536,"1310-1399-C*",'Accounting data'!I2:I65536,{"1*","2*","3*","4*","5*","6*"},'Accounting data'!J2:J65536,"25*",'Accounting data'!K2:K65536,"66*"))+SUM(SUMIFS('Accounting data'!G2:G65536,'Accounting data'!H2:H65536,"1310-1399-C*",'Accounting data'!I2:I65536,{"1*","2*","3*","4*","5*","6*"},'Accounting data'!J2:J65536,"29*",'Accounting data'!K2:K65536,"66*"))+SUM(SUMIFS('Accounting data'!G2:G65536,'Accounting data'!H2:H65536,"1227*",'Accounting data'!I2:I65536,{"1*","2*","3*","4*","5*","6*"},'Accounting data'!J2:J65536,"23*",'Accounting data'!K2:K65536,"66*"))+SUM(SUMIFS('Accounting data'!G2:G65536,'Accounting data'!H2:H65536,"1227*",'Accounting data'!I2:I65536,{"1*","2*","3*","4*","5*","6*"},'Accounting data'!J2:J65536,"25*",'Accounting data'!K2:K65536,"66*"))+SUM(SUMIFS('Accounting data'!G2:G65536,'Accounting data'!H2:H65536,"1227*",'Accounting data'!I2:I65536,{"1*","2*","3*","4*","5*","6*"},'Accounting data'!J2:J65536,"29*",'Accounting data'!K2:K65536,"66*"))+SUM(SUMIFS('Accounting data'!G2:G65536,'Accounting data'!H2:H65536,"1228*",'Accounting data'!I2:I65536,{"1*","2*","3*","4*","5*","6*"},'Accounting data'!J2:J65536,"23*",'Accounting data'!K2:K65536,"66*"))+SUM(SUMIFS('Accounting data'!G2:G65536,'Accounting data'!H2:H65536,"1228*",'Accounting data'!I2:I65536,{"1*","2*","3*","4*","5*","6*"},'Accounting data'!J2:J65536,"25*",'Accounting data'!K2:K65536,"66*"))+SUM(SUMIFS('Accounting data'!G2:G65536,'Accounting data'!H2:H65536,"1228*",'Accounting data'!I2:I65536,{"1*","2*","3*","4*","5*","6*"},'Accounting data'!J2:J65536,"29*",'Accounting data'!K2:K65536,"66*"))</f>
        <v>0</v>
      </c>
      <c r="H12" s="352">
        <f t="array" ref="H12">SUM(SUMIFS('Accounting data'!G2:G65536,'Accounting data'!H2:H65536,"1310-1399-C*",'Accounting data'!I2:I65536,{"1*","2*","3*","4*","5*","6*"},'Accounting data'!J2:J65536,"23*",'Accounting data'!K2:K65536,"681*"))+SUM(SUMIFS('Accounting data'!G2:G65536,'Accounting data'!H2:H65536,"1310-1399-C*",'Accounting data'!I2:I65536,{"1*","2*","3*","4*","5*","6*"},'Accounting data'!J2:J65536,"25*",'Accounting data'!K2:K65536,"681*"))+SUM(SUMIFS('Accounting data'!G2:G65536,'Accounting data'!H2:H65536,"1310-1399-C*",'Accounting data'!I2:I65536,{"1*","2*","3*","4*","5*","6*"},'Accounting data'!J2:J65536,"29*",'Accounting data'!K2:K65536,"681*"))+SUM(SUMIFS('Accounting data'!G2:G65536,'Accounting data'!H2:H65536,"1227*",'Accounting data'!I2:I65536,{"1*","2*","3*","4*","5*","6*"},'Accounting data'!J2:J65536,"23*",'Accounting data'!K2:K65536,"681*"))+SUM(SUMIFS('Accounting data'!G2:G65536,'Accounting data'!H2:H65536,"1227*",'Accounting data'!I2:I65536,{"1*","2*","3*","4*","5*","6*"},'Accounting data'!J2:J65536,"25*",'Accounting data'!K2:K65536,"681*"))+SUM(SUMIFS('Accounting data'!G2:G65536,'Accounting data'!H2:H65536,"1227*",'Accounting data'!I2:I65536,{"1*","2*","3*","4*","5*","6*"},'Accounting data'!J2:J65536,"29*",'Accounting data'!K2:K65536,"681*"))+SUM(SUMIFS('Accounting data'!G2:G65536,'Accounting data'!H2:H65536,"1228*",'Accounting data'!I2:I65536,{"1*","2*","3*","4*","5*","6*"},'Accounting data'!J2:J65536,"23*",'Accounting data'!K2:K65536,"681*"))+SUM(SUMIFS('Accounting data'!G2:G65536,'Accounting data'!H2:H65536,"1228*",'Accounting data'!I2:I65536,{"1*","2*","3*","4*","5*","6*"},'Accounting data'!J2:J65536,"25*",'Accounting data'!K2:K65536,"681*"))+SUM(SUMIFS('Accounting data'!G2:G65536,'Accounting data'!H2:H65536,"1228*",'Accounting data'!I2:I65536,{"1*","2*","3*","4*","5*","6*"},'Accounting data'!J2:J65536,"29*",'Accounting data'!K2:K65536,"681*"))</f>
        <v>0</v>
      </c>
      <c r="I12" s="352">
        <f t="array" ref="I12">SUM(SUMIFS('Accounting data'!G2:G65536,'Accounting data'!H2:H65536,"1310-1399-C*",'Accounting data'!I2:I65536,{"1*","2*","3*","4*","5*","6*"},'Accounting data'!J2:J65536,"23*",'Accounting data'!K2:K65536,"682*"))+SUM(SUMIFS('Accounting data'!G2:G65536,'Accounting data'!H2:H65536,"1310-1399-C*",'Accounting data'!I2:I65536,{"1*","2*","3*","4*","5*","6*"},'Accounting data'!J2:J65536,"25*",'Accounting data'!K2:K65536,"682*"))+SUM(SUMIFS('Accounting data'!G2:G65536,'Accounting data'!H2:H65536,"1310-1399-C*",'Accounting data'!I2:I65536,{"1*","2*","3*","4*","5*","6*"},'Accounting data'!J2:J65536,"29*",'Accounting data'!K2:K65536,"682*"))+SUM(SUMIFS('Accounting data'!G2:G65536,'Accounting data'!H2:H65536,"1227*",'Accounting data'!I2:I65536,{"1*","2*","3*","4*","5*","6*"},'Accounting data'!J2:J65536,"23*",'Accounting data'!K2:K65536,"682*"))+SUM(SUMIFS('Accounting data'!G2:G65536,'Accounting data'!H2:H65536,"1227*",'Accounting data'!I2:I65536,{"1*","2*","3*","4*","5*","6*"},'Accounting data'!J2:J65536,"25*",'Accounting data'!K2:K65536,"682*"))+SUM(SUMIFS('Accounting data'!G2:G65536,'Accounting data'!H2:H65536,"1227*",'Accounting data'!I2:I65536,{"1*","2*","3*","4*","5*","6*"},'Accounting data'!J2:J65536,"29*",'Accounting data'!K2:K65536,"682*"))+SUM(SUMIFS('Accounting data'!G2:G65536,'Accounting data'!H2:H65536,"1228*",'Accounting data'!I2:I65536,{"1*","2*","3*","4*","5*","6*"},'Accounting data'!J2:J65536,"23*",'Accounting data'!K2:K65536,"682*"))+SUM(SUMIFS('Accounting data'!G2:G65536,'Accounting data'!H2:H65536,"1228*",'Accounting data'!I2:I65536,{"1*","2*","3*","4*","5*","6*"},'Accounting data'!J2:J65536,"25*",'Accounting data'!K2:K65536,"682*"))+SUM(SUMIFS('Accounting data'!G2:G65536,'Accounting data'!H2:H65536,"1228*",'Accounting data'!I2:I65536,{"1*","2*","3*","4*","5*","6*"},'Accounting data'!J2:J65536,"29*",'Accounting data'!K2:K65536,"682*"))</f>
        <v>0</v>
      </c>
      <c r="J12" s="352">
        <f t="array" ref="J12">SUM(SUMIFS('Accounting data'!G2:G65536,'Accounting data'!H2:H65536,"1310-1399-C*",'Accounting data'!I2:I65536,{"1*","2*","3*","4*","5*","6*"},'Accounting data'!J2:J65536,"23*",'Accounting data'!K2:K65536,"689*"))+SUM(SUMIFS('Accounting data'!G2:G65536,'Accounting data'!H2:H65536,"1310-1399-C*",'Accounting data'!I2:I65536,{"1*","2*","3*","4*","5*","6*"},'Accounting data'!J2:J65536,"25*",'Accounting data'!K2:K65536,"689*"))+SUM(SUMIFS('Accounting data'!G2:G65536,'Accounting data'!H2:H65536,"1310-1399-C*",'Accounting data'!I2:I65536,{"1*","2*","3*","4*","5*","6*"},'Accounting data'!J2:J65536,"29*",'Accounting data'!K2:K65536,"689*"))+SUM(SUMIFS('Accounting data'!G2:G65536,'Accounting data'!H2:H65536,"1227*",'Accounting data'!I2:I65536,{"1*","2*","3*","4*","5*","6*"},'Accounting data'!J2:J65536,"23*",'Accounting data'!K2:K65536,"689*"))+SUM(SUMIFS('Accounting data'!G2:G65536,'Accounting data'!H2:H65536,"1227*",'Accounting data'!I2:I65536,{"1*","2*","3*","4*","5*","6*"},'Accounting data'!J2:J65536,"25*",'Accounting data'!K2:K65536,"689*"))+SUM(SUMIFS('Accounting data'!G2:G65536,'Accounting data'!H2:H65536,"1227*",'Accounting data'!I2:I65536,{"1*","2*","3*","4*","5*","6*"},'Accounting data'!J2:J65536,"29*",'Accounting data'!K2:K65536,"689*"))+SUM(SUMIFS('Accounting data'!G2:G65536,'Accounting data'!H2:H65536,"1228*",'Accounting data'!I2:I65536,{"1*","2*","3*","4*","5*","6*"},'Accounting data'!J2:J65536,"23*",'Accounting data'!K2:K65536,"689*"))+SUM(SUMIFS('Accounting data'!G2:G65536,'Accounting data'!H2:H65536,"1228*",'Accounting data'!I2:I65536,{"1*","2*","3*","4*","5*","6*"},'Accounting data'!J2:J65536,"25*",'Accounting data'!K2:K65536,"689*"))+SUM(SUMIFS('Accounting data'!G2:G65536,'Accounting data'!H2:H65536,"1228*",'Accounting data'!I2:I65536,{"1*","2*","3*","4*","5*","6*"},'Accounting data'!J2:J65536,"29*",'Accounting data'!K2:K65536,"689*"))</f>
        <v>0</v>
      </c>
      <c r="K12" s="352">
        <f t="array" ref="K12">SUM(SUMIFS('Accounting data'!G2:G65536,'Accounting data'!H2:H65536,"1310-1399-C*",'Accounting data'!I2:I65536,{"1*","2*","3*","4*","5*","6*"},'Accounting data'!J2:J65536,"23*",'Accounting data'!K2:K65536,"683*"))+SUM(SUMIFS('Accounting data'!G2:G65536,'Accounting data'!H2:H65536,"1310-1399-C*",'Accounting data'!I2:I65536,{"1*","2*","3*","4*","5*","6*"},'Accounting data'!J2:J65536,"25*",'Accounting data'!K2:K65536,"683*"))+SUM(SUMIFS('Accounting data'!G2:G65536,'Accounting data'!H2:H65536,"1310-1399-C*",'Accounting data'!I2:I65536,{"1*","2*","3*","4*","5*","6*"},'Accounting data'!J2:J65536,"29*",'Accounting data'!K2:K65536,"683*"))+SUM(SUMIFS('Accounting data'!G2:G65536,'Accounting data'!H2:H65536,"1227*",'Accounting data'!I2:I65536,{"1*","2*","3*","4*","5*","6*"},'Accounting data'!J2:J65536,"23*",'Accounting data'!K2:K65536,"683*"))+SUM(SUMIFS('Accounting data'!G2:G65536,'Accounting data'!H2:H65536,"1227*",'Accounting data'!I2:I65536,{"1*","2*","3*","4*","5*","6*"},'Accounting data'!J2:J65536,"25*",'Accounting data'!K2:K65536,"683*"))+SUM(SUMIFS('Accounting data'!G2:G65536,'Accounting data'!H2:H65536,"1227*",'Accounting data'!I2:I65536,{"1*","2*","3*","4*","5*","6*"},'Accounting data'!J2:J65536,"29*",'Accounting data'!K2:K65536,"683*"))+SUM(SUMIFS('Accounting data'!G2:G65536,'Accounting data'!H2:H65536,"1228*",'Accounting data'!I2:I65536,{"1*","2*","3*","4*","5*","6*"},'Accounting data'!J2:J65536,"23*",'Accounting data'!K2:K65536,"683*"))+SUM(SUMIFS('Accounting data'!G2:G65536,'Accounting data'!H2:H65536,"1228*",'Accounting data'!I2:I65536,{"1*","2*","3*","4*","5*","6*"},'Accounting data'!J2:J65536,"25*",'Accounting data'!K2:K65536,"683*"))+SUM(SUMIFS('Accounting data'!G2:G65536,'Accounting data'!H2:H65536,"1228*",'Accounting data'!I2:I65536,{"1*","2*","3*","4*","5*","6*"},'Accounting data'!J2:J65536,"29*",'Accounting data'!K2:K65536,"683*"))</f>
        <v>0</v>
      </c>
      <c r="L12" s="35">
        <v>0</v>
      </c>
      <c r="M12" s="358" cm="1">
        <f t="array" ref="M12">(SUM(SUMIFS('Accounting data'!G2:G65536,'Accounting data'!H2:H65536,"1310-1399-C*",'Accounting data'!I2:I65536,{"7*","8*","9*"},'Accounting data'!J2:J65536,"23*",'Accounting data'!K2:K65536,"6*"))+SUM(SUMIFS('Accounting data'!G2:G65536,'Accounting data'!H2:H65536,"1310-1399-C*",'Accounting data'!I2:I65536,{"7*","8*","9*"},'Accounting data'!J2:J65536,"25*",'Accounting data'!K2:K65536,"6*"))+SUM(SUMIFS('Accounting data'!G2:G65536,'Accounting data'!H2:H65536,"1310-1399-C*",'Accounting data'!I2:I65536,{"7*","8*","9*"},'Accounting data'!J2:J65536,"29*",'Accounting data'!K2:K65536,"6*")))-(SUM(SUMIFS('Accounting data'!G2:G65536,'Accounting data'!H2:H65536,"1310-1399-C*",'Accounting data'!I2:I65536,{"7*","8*","9*"},'Accounting data'!J2:J65536,"23*",'Accounting data'!K2:K65536,"69*"))+SUM(SUMIFS('Accounting data'!G2:G65536,'Accounting data'!H2:H65536,"1310-1399-C*",'Accounting data'!I2:I65536,{"7*","8*","9*"},'Accounting data'!J2:J65536,"25*",'Accounting data'!K2:K65536,"69*"))+SUM(SUMIFS('Accounting data'!G2:G65536,'Accounting data'!H2:H65536,"1310-1399-C*",'Accounting data'!I2:I65536,{"7*","8*","9*"},'Accounting data'!J2:J65536,"29*",'Accounting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data'!K2:K65536,"69*")))+AA12</f>
        <v>0</v>
      </c>
      <c r="N12" s="354">
        <f t="shared" si="0"/>
        <v>0</v>
      </c>
      <c r="O12" s="355"/>
      <c r="AA12" s="359">
        <f t="array" ref="AA12">(SUM(SUMIFS('Accounting data'!G2:G65536,'Accounting data'!H2:H65536,"1228*",'Accounting data'!I2:I65536,{"7*","8*","9*"},'Accounting data'!J2:J65536,"23*",'Accounting data'!K2:K65536,"6*"))+SUM(SUMIFS('Accounting data'!G2:G65536,'Accounting data'!H2:H65536,"1228*",'Accounting data'!I2:I65536,{"7*","8*","9*"},'Accounting data'!J2:J65536,"25*",'Accounting data'!K2:K65536,"6*"))+SUM(SUMIFS('Accounting data'!G2:G65536,'Accounting data'!H2:H65536,"1228*",'Accounting data'!I2:I65536,{"7*","8*","9*"},'Accounting data'!J2:J65536,"29*",'Accounting data'!K2:K65536,"6*")))-(SUM(SUMIFS('Accounting data'!G2:G65536,'Accounting data'!H2:H65536,"1228*",'Accounting data'!I2:I65536,{"7*","8*","9*"},'Accounting data'!J2:J65536,"23*",'Accounting data'!K2:K65536,"69*"))+SUM(SUMIFS('Accounting data'!G2:G65536,'Accounting data'!H2:H65536,"1228*",'Accounting data'!I2:I65536,{"7*","8*","9*"},'Accounting data'!J2:J65536,"25*",'Accounting data'!K2:K65536,"69*"))+SUM(SUMIFS('Accounting data'!G2:G65536,'Accounting data'!H2:H65536,"1228*",'Accounting data'!I2:I65536,{"7*","8*","9*"},'Accounting data'!J2:J65536,"29*",'Accounting data'!K2:K65536,"69*")))</f>
        <v>0</v>
      </c>
    </row>
    <row r="13" spans="1:27" x14ac:dyDescent="0.2">
      <c r="A13" s="360" t="s">
        <v>202</v>
      </c>
      <c r="B13" s="361"/>
      <c r="C13" s="362" t="s">
        <v>31</v>
      </c>
      <c r="D13" s="352">
        <f t="array" ref="D13">SUM(SUMIFS('Accounting data'!G2:G65536,'Accounting data'!H2:H65536,"1310-1399-C*",'Accounting data'!I2:I65536,{"1*","2*","3*","4*","5*","6*"},'Accounting data'!J2:J65536,"24*",'Accounting data'!K2:K65536,"61*"))+SUM(SUMIFS('Accounting data'!G2:G65536,'Accounting data'!H2:H65536,"1227*",'Accounting data'!I2:I65536,{"1*","2*","3*","4*","5*","6*"},'Accounting data'!J2:J65536,"24*",'Accounting data'!K2:K65536,"61*"))+SUM(SUMIFS('Accounting data'!G2:G65536,'Accounting data'!H2:H65536,"1228*",'Accounting data'!I2:I65536,{"1*","2*","3*","4*","5*","6*"},'Accounting data'!J2:J65536,"24*",'Accounting data'!K2:K65536,"61*"))</f>
        <v>0</v>
      </c>
      <c r="E13" s="352">
        <f t="array" ref="E13">SUM(SUMIFS('Accounting data'!G2:G65536,'Accounting data'!H2:H65536,"1310-1399-C*",'Accounting data'!I2:I65536,{"1*","2*","3*","4*","5*","6*"},'Accounting data'!J2:J65536,"24*",'Accounting data'!K2:K65536,"62*"))+SUM(SUMIFS('Accounting data'!G2:G65536,'Accounting data'!H2:H65536,"1227*",'Accounting data'!I2:I65536,{"1*","2*","3*","4*","5*","6*"},'Accounting data'!J2:J65536,"24*",'Accounting data'!K2:K65536,"62*"))+SUM(SUMIFS('Accounting data'!G2:G65536,'Accounting data'!H2:H65536,"1228*",'Accounting data'!I2:I65536,{"1*","2*","3*","4*","5*","6*"},'Accounting data'!J2:J65536,"24*",'Accounting data'!K2:K65536,"62*"))</f>
        <v>0</v>
      </c>
      <c r="F13" s="352">
        <f t="array" ref="F13">SUM(SUMIFS('Accounting data'!G2:G65536,'Accounting data'!H2:H65536,"1310-1399-C*",'Accounting data'!I2:I65536,{"1*","2*","3*","4*","5*","6*"},'Accounting data'!J2:J65536,"24*",'Accounting data'!K2:K65536,"63*"))+SUM(SUMIFS('Accounting data'!G2:G65536,'Accounting data'!H2:H65536,"1227*",'Accounting data'!I2:I65536,{"1*","2*","3*","4*","5*","6*"},'Accounting data'!J2:J65536,"24*",'Accounting data'!K2:K65536,"63*"))+SUM(SUMIFS('Accounting data'!G2:G65536,'Accounting data'!H2:H65536,"1228*",'Accounting data'!I2:I65536,{"1*","2*","3*","4*","5*","6*"},'Accounting data'!J2:J65536,"24*",'Accounting data'!K2:K65536,"63*"))</f>
        <v>0</v>
      </c>
      <c r="G13" s="352">
        <f t="array" ref="G13">SUM(SUMIFS('Accounting data'!G2:G65536,'Accounting data'!H2:H65536,"1310-1399-C*",'Accounting data'!I2:I65536,{"1*","2*","3*","4*","5*","6*"},'Accounting data'!J2:J65536,"24*",'Accounting data'!K2:K65536,"66*"))+SUM(SUMIFS('Accounting data'!G2:G65536,'Accounting data'!H2:H65536,"1227*",'Accounting data'!I2:I65536,{"1*","2*","3*","4*","5*","6*"},'Accounting data'!J2:J65536,"24*",'Accounting data'!K2:K65536,"66*"))+SUM(SUMIFS('Accounting data'!G2:G65536,'Accounting data'!H2:H65536,"1228*",'Accounting data'!I2:I65536,{"1*","2*","3*","4*","5*","6*"},'Accounting data'!J2:J65536,"24*",'Accounting data'!K2:K65536,"66*"))</f>
        <v>0</v>
      </c>
      <c r="H13" s="352">
        <f t="array" ref="H13">SUM(SUMIFS('Accounting data'!G2:G65536,'Accounting data'!H2:H65536,"1310-1399-C*",'Accounting data'!I2:I65536,{"1*","2*","3*","4*","5*","6*"},'Accounting data'!J2:J65536,"24*",'Accounting data'!K2:K65536,"681*"))+SUM(SUMIFS('Accounting data'!G2:G65536,'Accounting data'!H2:H65536,"1227*",'Accounting data'!I2:I65536,{"1*","2*","3*","4*","5*","6*"},'Accounting data'!J2:J65536,"24*",'Accounting data'!K2:K65536,"681*"))+SUM(SUMIFS('Accounting data'!G2:G65536,'Accounting data'!H2:H65536,"1228*",'Accounting data'!I2:I65536,{"1*","2*","3*","4*","5*","6*"},'Accounting data'!J2:J65536,"24*",'Accounting data'!K2:K65536,"681*"))</f>
        <v>0</v>
      </c>
      <c r="I13" s="353"/>
      <c r="J13" s="352">
        <f t="array" ref="J13">SUM(SUMIFS('Accounting data'!G2:G65536,'Accounting data'!H2:H65536,"1310-1399-C*",'Accounting data'!I2:I65536,{"1*","2*","3*","4*","5*","6*"},'Accounting data'!J2:J65536,"24*",'Accounting data'!K2:K65536,"689*"))+SUM(SUMIFS('Accounting data'!G2:G65536,'Accounting data'!H2:H65536,"1227*",'Accounting data'!I2:I65536,{"1*","2*","3*","4*","5*","6*"},'Accounting data'!J2:J65536,"24*",'Accounting data'!K2:K65536,"689*"))+SUM(SUMIFS('Accounting data'!G2:G65536,'Accounting data'!H2:H65536,"1228*",'Accounting data'!I2:I65536,{"1*","2*","3*","4*","5*","6*"},'Accounting data'!J2:J65536,"24*",'Accounting data'!K2:K65536,"689*"))</f>
        <v>0</v>
      </c>
      <c r="K13" s="352">
        <f t="array" ref="K13">SUM(SUMIFS('Accounting data'!G2:G65536,'Accounting data'!H2:H65536,"1310-1399-C*",'Accounting data'!I2:I65536,{"1*","2*","3*","4*","5*","6*"},'Accounting data'!J2:J65536,"24*",'Accounting data'!K2:K65536,"683*"))+SUM(SUMIFS('Accounting data'!G2:G65536,'Accounting data'!H2:H65536,"1227*",'Accounting data'!I2:I65536,{"1*","2*","3*","4*","5*","6*"},'Accounting data'!J2:J65536,"24*",'Accounting data'!K2:K65536,"683*"))+SUM(SUMIFS('Accounting data'!G2:G65536,'Accounting data'!H2:H65536,"1228*",'Accounting data'!I2:I65536,{"1*","2*","3*","4*","5*","6*"},'Accounting data'!J2:J65536,"24*",'Accounting data'!K2:K65536,"683*"))</f>
        <v>0</v>
      </c>
      <c r="L13" s="35">
        <v>0</v>
      </c>
      <c r="M13" s="352" cm="1">
        <f t="array" ref="M13">SUM(SUMIFS('Accounting data'!G2:G65536,'Accounting data'!H2:H65536,"1310-1399-C*",'Accounting data'!I2:I65536,{"7*","8*","9*"},'Accounting data'!J2:J65536,"24*",'Accounting data'!K2:K65536,"6*"))-SUM(SUMIFS('Accounting data'!G2:G65536,'Accounting data'!H2:H65536,"1310-1399-C*",'Accounting data'!I2:I65536,{"7*","8*","9*"},'Accounting data'!J2:J65536,"24*",'Accounting data'!K2:K65536,"69*"))+SUM(SUMIFS('Accounting data'!G2:G65536,'Accounting data'!H2:H65536,"1227*",'Accounting data'!I2:I65536,{"7*","8*","9*"},'Accounting data'!J2:J65536,"24*",'Accounting data'!K2:K65536,"6*"))-SUM(SUMIFS('Accounting data'!G2:G65536,'Accounting data'!H2:H65536,"1227*",'Accounting data'!I2:I65536,{"7*","8*","9*"},'Accounting data'!J2:J65536,"24*",'Accounting data'!K2:K65536,"69*"))+SUM(SUMIFS('Accounting data'!G2:G65536,'Accounting data'!H2:H65536,"1228*",'Accounting data'!I2:I65536,{"7*","8*","9*"},'Accounting data'!J2:J65536,"24*",'Accounting data'!K2:K65536,"6*"))-SUM(SUMIFS('Accounting data'!G2:G65536,'Accounting data'!H2:H65536,"1228*",'Accounting data'!I2:I65536,{"7*","8*","9*"},'Accounting data'!J2:J65536,"24*",'Accounting data'!K2:K65536,"69*"))+(SUM(SUMIFS('Accounting data'!G2:G65536,'Accounting data'!H2:H65536,"1227*",'Accounting data'!I2:I65536,{"7*","8*","9*"},'Accounting data'!J2:J65536,"23*",'Accounting data'!K2:K65536,"6*"))+SUM(SUMIFS('Accounting data'!G2:G65536,'Accounting data'!H2:H65536,"1227*",'Accounting data'!I2:I65536,{"7*","8*","9*"},'Accounting data'!J2:J65536,"25*",'Accounting data'!K2:K65536,"6*"))+SUM(SUMIFS('Accounting data'!G2:G65536,'Accounting data'!H2:H65536,"1227*",'Accounting data'!I2:I65536,{"7*","8*","9*"},'Accounting data'!J2:J65536,"29*",'Accounting data'!K2:K65536,"6*")))-(SUM(SUMIFS('Accounting data'!G2:G65536,'Accounting data'!H2:H65536,"1227*",'Accounting data'!I2:I65536,{"7*","8*","9*"},'Accounting data'!J2:J65536,"23*",'Accounting data'!K2:K65536,"69*"))+SUM(SUMIFS('Accounting data'!G2:G65536,'Accounting data'!H2:H65536,"1227*",'Accounting data'!I2:I65536,{"7*","8*","9*"},'Accounting data'!J2:J65536,"25*",'Accounting data'!K2:K65536,"69*"))+SUM(SUMIFS('Accounting data'!G2:G65536,'Accounting data'!H2:H65536,"1227*",'Accounting data'!I2:I65536,{"7*","8*","9*"},'Accounting data'!J2:J65536,"29*",'Accounting data'!K2:K65536,"69*")))</f>
        <v>0</v>
      </c>
      <c r="N13" s="354">
        <f t="shared" si="0"/>
        <v>0</v>
      </c>
      <c r="O13" s="363"/>
    </row>
    <row r="14" spans="1:27" x14ac:dyDescent="0.2">
      <c r="A14" s="356" t="s">
        <v>428</v>
      </c>
      <c r="B14" s="584"/>
      <c r="C14" s="362" t="s">
        <v>33</v>
      </c>
      <c r="D14" s="352">
        <f t="array" ref="D14">SUM(SUMIFS('Accounting data'!G2:G65536,'Accounting data'!H2:H65536,"1310-1399-C*",'Accounting data'!I2:I65536,{"1*","2*","3*","4*","5*","6*"},'Accounting data'!J2:J65536,"26*",'Accounting data'!K2:K65536,"61*"))+SUM(SUMIFS('Accounting data'!G2:G65536,'Accounting data'!H2:H65536,"1227*",'Accounting data'!I2:I65536,{"1*","2*","3*","4*","5*","6*"},'Accounting data'!J2:J65536,"26*",'Accounting data'!K2:K65536,"61*"))+SUM(SUMIFS('Accounting data'!G2:G65536,'Accounting data'!H2:H65536,"1228*",'Accounting data'!I2:I65536,{"1*","2*","3*","4*","5*","6*"},'Accounting data'!J2:J65536,"26*",'Accounting data'!K2:K65536,"61*"))</f>
        <v>0</v>
      </c>
      <c r="E14" s="352">
        <f t="array" ref="E14">SUM(SUMIFS('Accounting data'!G2:G65536,'Accounting data'!H2:H65536,"1310-1399-C*",'Accounting data'!I2:I65536,{"1*","2*","3*","4*","5*","6*"},'Accounting data'!J2:J65536,"26*",'Accounting data'!K2:K65536,"62*"))+SUM(SUMIFS('Accounting data'!G2:G65536,'Accounting data'!H2:H65536,"1227*",'Accounting data'!I2:I65536,{"1*","2*","3*","4*","5*","6*"},'Accounting data'!J2:J65536,"26*",'Accounting data'!K2:K65536,"62*"))+SUM(SUMIFS('Accounting data'!G2:G65536,'Accounting data'!H2:H65536,"1228*",'Accounting data'!I2:I65536,{"1*","2*","3*","4*","5*","6*"},'Accounting data'!J2:J65536,"26*",'Accounting data'!K2:K65536,"62*"))</f>
        <v>0</v>
      </c>
      <c r="F14" s="352">
        <f t="array" ref="F14">SUM(SUMIFS('Accounting data'!G2:G65536,'Accounting data'!H2:H65536,"1310-1399-C*",'Accounting data'!I2:I65536,{"1*","2*","3*","4*","5*","6*"},'Accounting data'!J2:J65536,"26*",'Accounting data'!K2:K65536,"63*"))+SUM(SUMIFS('Accounting data'!G2:G65536,'Accounting data'!H2:H65536,"1227*",'Accounting data'!I2:I65536,{"1*","2*","3*","4*","5*","6*"},'Accounting data'!J2:J65536,"26*",'Accounting data'!K2:K65536,"63*"))+SUM(SUMIFS('Accounting data'!G2:G65536,'Accounting data'!H2:H65536,"1228*",'Accounting data'!I2:I65536,{"1*","2*","3*","4*","5*","6*"},'Accounting data'!J2:J65536,"26*",'Accounting data'!K2:K65536,"63*"))</f>
        <v>0</v>
      </c>
      <c r="G14" s="352">
        <f t="array" ref="G14">SUM(SUMIFS('Accounting data'!G2:G65536,'Accounting data'!H2:H65536,"1310-1399-C*",'Accounting data'!I2:I65536,{"1*","2*","3*","4*","5*","6*"},'Accounting data'!J2:J65536,"26*",'Accounting data'!K2:K65536,"66*"))+SUM(SUMIFS('Accounting data'!G2:G65536,'Accounting data'!H2:H65536,"1227*",'Accounting data'!I2:I65536,{"1*","2*","3*","4*","5*","6*"},'Accounting data'!J2:J65536,"26*",'Accounting data'!K2:K65536,"66*"))+SUM(SUMIFS('Accounting data'!G2:G65536,'Accounting data'!H2:H65536,"1228*",'Accounting data'!I2:I65536,{"1*","2*","3*","4*","5*","6*"},'Accounting data'!J2:J65536,"26*",'Accounting data'!K2:K65536,"66*"))</f>
        <v>0</v>
      </c>
      <c r="H14" s="352">
        <f t="array" ref="H14">SUM(SUMIFS('Accounting data'!G2:G65536,'Accounting data'!H2:H65536,"1310-1399-C*",'Accounting data'!I2:I65536,{"1*","2*","3*","4*","5*","6*"},'Accounting data'!J2:J65536,"26*",'Accounting data'!K2:K65536,"681*"))+SUM(SUMIFS('Accounting data'!G2:G65536,'Accounting data'!H2:H65536,"1227*",'Accounting data'!I2:I65536,{"1*","2*","3*","4*","5*","6*"},'Accounting data'!J2:J65536,"26*",'Accounting data'!K2:K65536,"681*"))+SUM(SUMIFS('Accounting data'!G2:G65536,'Accounting data'!H2:H65536,"1228*",'Accounting data'!I2:I65536,{"1*","2*","3*","4*","5*","6*"},'Accounting data'!J2:J65536,"26*",'Accounting data'!K2:K65536,"681*"))</f>
        <v>0</v>
      </c>
      <c r="I14" s="353"/>
      <c r="J14" s="352">
        <f t="array" ref="J14">SUM(SUMIFS('Accounting data'!G2:G65536,'Accounting data'!H2:H65536,"1310-1399-C*",'Accounting data'!I2:I65536,{"1*","2*","3*","4*","5*","6*"},'Accounting data'!J2:J65536,"26*",'Accounting data'!K2:K65536,"689*"))+SUM(SUMIFS('Accounting data'!G2:G65536,'Accounting data'!H2:H65536,"1227*",'Accounting data'!I2:I65536,{"1*","2*","3*","4*","5*","6*"},'Accounting data'!J2:J65536,"26*",'Accounting data'!K2:K65536,"689*"))+SUM(SUMIFS('Accounting data'!G2:G65536,'Accounting data'!H2:H65536,"1228*",'Accounting data'!I2:I65536,{"1*","2*","3*","4*","5*","6*"},'Accounting data'!J2:J65536,"26*",'Accounting data'!K2:K65536,"689*"))</f>
        <v>0</v>
      </c>
      <c r="K14" s="352">
        <f t="array" ref="K14">SUM(SUMIFS('Accounting data'!G2:G65536,'Accounting data'!H2:H65536,"1310-1399-C*",'Accounting data'!I2:I65536,{"1*","2*","3*","4*","5*","6*"},'Accounting data'!J2:J65536,"26*",'Accounting data'!K2:K65536,"683*"))+SUM(SUMIFS('Accounting data'!G2:G65536,'Accounting data'!H2:H65536,"1227*",'Accounting data'!I2:I65536,{"1*","2*","3*","4*","5*","6*"},'Accounting data'!J2:J65536,"26*",'Accounting data'!K2:K65536,"683*"))+SUM(SUMIFS('Accounting data'!G2:G65536,'Accounting data'!H2:H65536,"1228*",'Accounting data'!I2:I65536,{"1*","2*","3*","4*","5*","6*"},'Accounting data'!J2:J65536,"26*",'Accounting data'!K2:K65536,"683*"))</f>
        <v>0</v>
      </c>
      <c r="L14" s="35">
        <v>0</v>
      </c>
      <c r="M14" s="352" cm="1">
        <f t="array" ref="M14">SUM(SUMIFS('Accounting data'!G2:G65536,'Accounting data'!H2:H65536,"1310-1399-C*",'Accounting data'!I2:I65536,{"7*","8*","9*"},'Accounting data'!J2:J65536,"26*",'Accounting data'!K2:K65536,"6*"))-SUM(SUMIFS('Accounting data'!G2:G65536,'Accounting data'!H2:H65536,"1310-1399-C*",'Accounting data'!I2:I65536,{"7*","8*","9*"},'Accounting data'!J2:J65536,"26*",'Accounting data'!K2:K65536,"69*"))+SUM(SUMIFS('Accounting data'!G2:G65536,'Accounting data'!H2:H65536,"1227*",'Accounting data'!I2:I65536,{"7*","8*","9*"},'Accounting data'!J2:J65536,"26*",'Accounting data'!K2:K65536,"6*"))-SUM(SUMIFS('Accounting data'!G2:G65536,'Accounting data'!H2:H65536,"1227*",'Accounting data'!I2:I65536,{"7*","8*","9*"},'Accounting data'!J2:J65536,"26*",'Accounting data'!K2:K65536,"69*"))+SUM(SUMIFS('Accounting data'!G2:G65536,'Accounting data'!H2:H65536,"1228*",'Accounting data'!I2:I65536,{"7*","8*","9*"},'Accounting data'!J2:J65536,"26*",'Accounting data'!K2:K65536,"6*"))-SUM(SUMIFS('Accounting data'!G2:G65536,'Accounting data'!H2:H65536,"1228*",'Accounting data'!I2:I65536,{"7*","8*","9*"},'Accounting data'!J2:J65536,"26*",'Accounting data'!K2:K65536,"69*"))</f>
        <v>0</v>
      </c>
      <c r="N14" s="354">
        <f t="shared" si="0"/>
        <v>0</v>
      </c>
      <c r="O14" s="363"/>
    </row>
    <row r="15" spans="1:27" x14ac:dyDescent="0.2">
      <c r="A15" s="364" t="s">
        <v>208</v>
      </c>
      <c r="B15" s="365"/>
      <c r="C15" s="362" t="s">
        <v>35</v>
      </c>
      <c r="D15" s="352">
        <f t="array" ref="D15">SUM(SUMIFS('Accounting data'!G2:G65536,'Accounting data'!H2:H65536,"1310-1399-C*",'Accounting data'!I2:I65536,{"1*","2*","3*","4*","5*","6*"},'Accounting data'!J2:J65536,"27*",'Accounting data'!K2:K65536,"61*"))+SUM(SUMIFS('Accounting data'!G2:G65536,'Accounting data'!H2:H65536,"1227*",'Accounting data'!I2:I65536,{"1*","2*","3*","4*","5*","6*"},'Accounting data'!J2:J65536,"27*",'Accounting data'!K2:K65536,"61*"))+SUM(SUMIFS('Accounting data'!G2:G65536,'Accounting data'!H2:H65536,"1228*",'Accounting data'!I2:I65536,{"1*","2*","3*","4*","5*","6*"},'Accounting data'!J2:J65536,"27*",'Accounting data'!K2:K65536,"61*"))</f>
        <v>0</v>
      </c>
      <c r="E15" s="352">
        <f t="array" ref="E15">SUM(SUMIFS('Accounting data'!G2:G65536,'Accounting data'!H2:H65536,"1310-1399-C*",'Accounting data'!I2:I65536,{"1*","2*","3*","4*","5*","6*"},'Accounting data'!J2:J65536,"27*",'Accounting data'!K2:K65536,"62*"))+SUM(SUMIFS('Accounting data'!G2:G65536,'Accounting data'!H2:H65536,"1227*",'Accounting data'!I2:I65536,{"1*","2*","3*","4*","5*","6*"},'Accounting data'!J2:J65536,"27*",'Accounting data'!K2:K65536,"62*"))+SUM(SUMIFS('Accounting data'!G2:G65536,'Accounting data'!H2:H65536,"1228*",'Accounting data'!I2:I65536,{"1*","2*","3*","4*","5*","6*"},'Accounting data'!J2:J65536,"27*",'Accounting data'!K2:K65536,"62*"))</f>
        <v>0</v>
      </c>
      <c r="F15" s="352">
        <f t="array" ref="F15">SUM(SUMIFS('Accounting data'!G2:G65536,'Accounting data'!H2:H65536,"1310-1399-C*",'Accounting data'!I2:I65536,{"1*","2*","3*","4*","5*","6*"},'Accounting data'!J2:J65536,"27*",'Accounting data'!K2:K65536,"63*"))+SUM(SUMIFS('Accounting data'!G2:G65536,'Accounting data'!H2:H65536,"1227*",'Accounting data'!I2:I65536,{"1*","2*","3*","4*","5*","6*"},'Accounting data'!J2:J65536,"27*",'Accounting data'!K2:K65536,"63*"))+SUM(SUMIFS('Accounting data'!G2:G65536,'Accounting data'!H2:H65536,"1228*",'Accounting data'!I2:I65536,{"1*","2*","3*","4*","5*","6*"},'Accounting data'!J2:J65536,"27*",'Accounting data'!K2:K65536,"63*"))</f>
        <v>0</v>
      </c>
      <c r="G15" s="352">
        <f t="array" ref="G15">SUM(SUMIFS('Accounting data'!G2:G65536,'Accounting data'!H2:H65536,"1310-1399-C*",'Accounting data'!I2:I65536,{"1*","2*","3*","4*","5*","6*"},'Accounting data'!J2:J65536,"27*",'Accounting data'!K2:K65536,"66*"))+SUM(SUMIFS('Accounting data'!G2:G65536,'Accounting data'!H2:H65536,"1227*",'Accounting data'!I2:I65536,{"1*","2*","3*","4*","5*","6*"},'Accounting data'!J2:J65536,"27*",'Accounting data'!K2:K65536,"66*"))+SUM(SUMIFS('Accounting data'!G2:G65536,'Accounting data'!H2:H65536,"1228*",'Accounting data'!I2:I65536,{"1*","2*","3*","4*","5*","6*"},'Accounting data'!J2:J65536,"27*",'Accounting data'!K2:K65536,"66*"))</f>
        <v>0</v>
      </c>
      <c r="H15" s="352">
        <f t="array" ref="H15">SUM(SUMIFS('Accounting data'!G2:G65536,'Accounting data'!H2:H65536,"1310-1399-C*",'Accounting data'!I2:I65536,{"1*","2*","3*","4*","5*","6*"},'Accounting data'!J2:J65536,"27*",'Accounting data'!K2:K65536,"681*"))+SUM(SUMIFS('Accounting data'!G2:G65536,'Accounting data'!H2:H65536,"1227*",'Accounting data'!I2:I65536,{"1*","2*","3*","4*","5*","6*"},'Accounting data'!J2:J65536,"27*",'Accounting data'!K2:K65536,"681*"))+SUM(SUMIFS('Accounting data'!G2:G65536,'Accounting data'!H2:H65536,"1228*",'Accounting data'!I2:I65536,{"1*","2*","3*","4*","5*","6*"},'Accounting data'!J2:J65536,"27*",'Accounting data'!K2:K65536,"681*"))</f>
        <v>0</v>
      </c>
      <c r="I15" s="353"/>
      <c r="J15" s="352">
        <f t="array" ref="J15">SUM(SUMIFS('Accounting data'!G2:G65536,'Accounting data'!H2:H65536,"1310-1399-C*",'Accounting data'!I2:I65536,{"1*","2*","3*","4*","5*","6*"},'Accounting data'!J2:J65536,"27*",'Accounting data'!K2:K65536,"689*"))+SUM(SUMIFS('Accounting data'!G2:G65536,'Accounting data'!H2:H65536,"1227*",'Accounting data'!I2:I65536,{"1*","2*","3*","4*","5*","6*"},'Accounting data'!J2:J65536,"27*",'Accounting data'!K2:K65536,"689*"))+SUM(SUMIFS('Accounting data'!G2:G65536,'Accounting data'!H2:H65536,"1228*",'Accounting data'!I2:I65536,{"1*","2*","3*","4*","5*","6*"},'Accounting data'!J2:J65536,"27*",'Accounting data'!K2:K65536,"689*"))</f>
        <v>0</v>
      </c>
      <c r="K15" s="352">
        <f t="array" ref="K15">SUM(SUMIFS('Accounting data'!G2:G65536,'Accounting data'!H2:H65536,"1310-1399-C*",'Accounting data'!I2:I65536,{"1*","2*","3*","4*","5*","6*"},'Accounting data'!J2:J65536,"27*",'Accounting data'!K2:K65536,"683*"))+SUM(SUMIFS('Accounting data'!G2:G65536,'Accounting data'!H2:H65536,"1227*",'Accounting data'!I2:I65536,{"1*","2*","3*","4*","5*","6*"},'Accounting data'!J2:J65536,"27*",'Accounting data'!K2:K65536,"683*"))+SUM(SUMIFS('Accounting data'!G2:G65536,'Accounting data'!H2:H65536,"1228*",'Accounting data'!I2:I65536,{"1*","2*","3*","4*","5*","6*"},'Accounting data'!J2:J65536,"27*",'Accounting data'!K2:K65536,"683*"))</f>
        <v>0</v>
      </c>
      <c r="L15" s="35">
        <v>0</v>
      </c>
      <c r="M15" s="352" cm="1">
        <f t="array" ref="M15">SUM(SUMIFS('Accounting data'!G2:G65536,'Accounting data'!H2:H65536,"1310-1399-C*",'Accounting data'!I2:I65536,{"7*","8*","9*"},'Accounting data'!J2:J65536,"27*",'Accounting data'!K2:K65536,"6*"))-SUM(SUMIFS('Accounting data'!G2:G65536,'Accounting data'!H2:H65536,"1310-1399-C*",'Accounting data'!I2:I65536,{"7*","8*","9*"},'Accounting data'!J2:J65536,"27*",'Accounting data'!K2:K65536,"69*"))+SUM(SUMIFS('Accounting data'!G2:G65536,'Accounting data'!H2:H65536,"1227*",'Accounting data'!I2:I65536,{"7*","8*","9*"},'Accounting data'!J2:J65536,"27*",'Accounting data'!K2:K65536,"6*"))-SUM(SUMIFS('Accounting data'!G2:G65536,'Accounting data'!H2:H65536,"1227*",'Accounting data'!I2:I65536,{"7*","8*","9*"},'Accounting data'!J2:J65536,"27*",'Accounting data'!K2:K65536,"69*"))+SUM(SUMIFS('Accounting data'!G2:G65536,'Accounting data'!H2:H65536,"1228*",'Accounting data'!I2:I65536,{"7*","8*","9*"},'Accounting data'!J2:J65536,"27*",'Accounting data'!K2:K65536,"6*"))-SUM(SUMIFS('Accounting data'!G2:G65536,'Accounting data'!H2:H65536,"1228*",'Accounting data'!I2:I65536,{"7*","8*","9*"},'Accounting data'!J2:J65536,"27*",'Accounting data'!K2:K65536,"69*"))</f>
        <v>0</v>
      </c>
      <c r="N15" s="354">
        <f t="shared" si="0"/>
        <v>0</v>
      </c>
      <c r="O15" s="363"/>
    </row>
    <row r="16" spans="1:27" x14ac:dyDescent="0.2">
      <c r="A16" s="364" t="s">
        <v>429</v>
      </c>
      <c r="B16" s="365"/>
      <c r="C16" s="362" t="s">
        <v>36</v>
      </c>
      <c r="D16" s="352">
        <f t="array" ref="D16">SUM(SUMIFS('Accounting data'!G2:G65536,'Accounting data'!H2:H65536,"1310-1399-C*",'Accounting data'!I2:I65536,{"1*","2*","3*","4*","5*","6*"},'Accounting data'!J2:J65536,"31*",'Accounting data'!K2:K65536,"61*"))+SUM(SUMIFS('Accounting data'!G2:G65536,'Accounting data'!H2:H65536,"1227*",'Accounting data'!I2:I65536,{"1*","2*","3*","4*","5*","6*"},'Accounting data'!J2:J65536,"31*",'Accounting data'!K2:K65536,"61*"))+SUM(SUMIFS('Accounting data'!G2:G65536,'Accounting data'!H2:H65536,"1228*",'Accounting data'!I2:I65536,{"1*","2*","3*","4*","5*","6*"},'Accounting data'!J2:J65536,"31*",'Accounting data'!K2:K65536,"61*"))</f>
        <v>0</v>
      </c>
      <c r="E16" s="352">
        <f t="array" ref="E16">SUM(SUMIFS('Accounting data'!G2:G65536,'Accounting data'!H2:H65536,"1310-1399-C*",'Accounting data'!I2:I65536,{"1*","2*","3*","4*","5*","6*"},'Accounting data'!J2:J65536,"31*",'Accounting data'!K2:K65536,"62*"))+SUM(SUMIFS('Accounting data'!G2:G65536,'Accounting data'!H2:H65536,"1227*",'Accounting data'!I2:I65536,{"1*","2*","3*","4*","5*","6*"},'Accounting data'!J2:J65536,"31*",'Accounting data'!K2:K65536,"62*"))+SUM(SUMIFS('Accounting data'!G2:G65536,'Accounting data'!H2:H65536,"1228*",'Accounting data'!I2:I65536,{"1*","2*","3*","4*","5*","6*"},'Accounting data'!J2:J65536,"31*",'Accounting data'!K2:K65536,"62*"))</f>
        <v>0</v>
      </c>
      <c r="F16" s="352">
        <f t="array" ref="F16">SUM(SUMIFS('Accounting data'!G2:G65536,'Accounting data'!H2:H65536,"1310-1399-C*",'Accounting data'!I2:I65536,{"1*","2*","3*","4*","5*","6*"},'Accounting data'!J2:J65536,"31*",'Accounting data'!K2:K65536,"63*"))+SUM(SUMIFS('Accounting data'!G2:G65536,'Accounting data'!H2:H65536,"1227*",'Accounting data'!I2:I65536,{"1*","2*","3*","4*","5*","6*"},'Accounting data'!J2:J65536,"31*",'Accounting data'!K2:K65536,"63*"))+SUM(SUMIFS('Accounting data'!G2:G65536,'Accounting data'!H2:H65536,"1228*",'Accounting data'!I2:I65536,{"1*","2*","3*","4*","5*","6*"},'Accounting data'!J2:J65536,"31*",'Accounting data'!K2:K65536,"63*"))</f>
        <v>0</v>
      </c>
      <c r="G16" s="352">
        <f t="array" ref="G16">SUM(SUMIFS('Accounting data'!G2:G65536,'Accounting data'!H2:H65536,"1310-1399-C*",'Accounting data'!I2:I65536,{"1*","2*","3*","4*","5*","6*"},'Accounting data'!J2:J65536,"31*",'Accounting data'!K2:K65536,"66*"))+SUM(SUMIFS('Accounting data'!G2:G65536,'Accounting data'!H2:H65536,"1227*",'Accounting data'!I2:I65536,{"1*","2*","3*","4*","5*","6*"},'Accounting data'!J2:J65536,"31*",'Accounting data'!K2:K65536,"66*"))+SUM(SUMIFS('Accounting data'!G2:G65536,'Accounting data'!H2:H65536,"1228*",'Accounting data'!I2:I65536,{"1*","2*","3*","4*","5*","6*"},'Accounting data'!J2:J65536,"31*",'Accounting data'!K2:K65536,"66*"))</f>
        <v>0</v>
      </c>
      <c r="H16" s="352">
        <f t="array" ref="H16">SUM(SUMIFS('Accounting data'!G2:G65536,'Accounting data'!H2:H65536,"1310-1399-C*",'Accounting data'!I2:I65536,{"1*","2*","3*","4*","5*","6*"},'Accounting data'!J2:J65536,"31*",'Accounting data'!K2:K65536,"681*"))+SUM(SUMIFS('Accounting data'!G2:G65536,'Accounting data'!H2:H65536,"1227*",'Accounting data'!I2:I65536,{"1*","2*","3*","4*","5*","6*"},'Accounting data'!J2:J65536,"31*",'Accounting data'!K2:K65536,"681*"))+SUM(SUMIFS('Accounting data'!G2:G65536,'Accounting data'!H2:H65536,"1228*",'Accounting data'!I2:I65536,{"1*","2*","3*","4*","5*","6*"},'Accounting data'!J2:J65536,"31*",'Accounting data'!K2:K65536,"681*"))</f>
        <v>0</v>
      </c>
      <c r="I16" s="353"/>
      <c r="J16" s="352">
        <f t="array" ref="J16">SUM(SUMIFS('Accounting data'!G2:G65536,'Accounting data'!H2:H65536,"1310-1399-C*",'Accounting data'!I2:I65536,{"1*","2*","3*","4*","5*","6*"},'Accounting data'!J2:J65536,"31*",'Accounting data'!K2:K65536,"689*"))+SUM(SUMIFS('Accounting data'!G2:G65536,'Accounting data'!H2:H65536,"1227*",'Accounting data'!I2:I65536,{"1*","2*","3*","4*","5*","6*"},'Accounting data'!J2:J65536,"31*",'Accounting data'!K2:K65536,"689*"))+SUM(SUMIFS('Accounting data'!G2:G65536,'Accounting data'!H2:H65536,"1228*",'Accounting data'!I2:I65536,{"1*","2*","3*","4*","5*","6*"},'Accounting data'!J2:J65536,"31*",'Accounting data'!K2:K65536,"689*"))</f>
        <v>0</v>
      </c>
      <c r="K16" s="352">
        <f t="array" ref="K16">SUM(SUMIFS('Accounting data'!G2:G65536,'Accounting data'!H2:H65536,"1310-1399-C*",'Accounting data'!I2:I65536,{"1*","2*","3*","4*","5*","6*"},'Accounting data'!J2:J65536,"31*",'Accounting data'!K2:K65536,"683*"))+SUM(SUMIFS('Accounting data'!G2:G65536,'Accounting data'!H2:H65536,"1227*",'Accounting data'!I2:I65536,{"1*","2*","3*","4*","5*","6*"},'Accounting data'!J2:J65536,"31*",'Accounting data'!K2:K65536,"683*"))+SUM(SUMIFS('Accounting data'!G2:G65536,'Accounting data'!H2:H65536,"1228*",'Accounting data'!I2:I65536,{"1*","2*","3*","4*","5*","6*"},'Accounting data'!J2:J65536,"31*",'Accounting data'!K2:K65536,"683*"))</f>
        <v>0</v>
      </c>
      <c r="L16" s="35">
        <v>0</v>
      </c>
      <c r="M16" s="352">
        <f t="array" ref="M16">SUM(SUMIFS('Accounting data'!G2:G65536,'Accounting data'!H2:H65536,"1310-1399-C*",'Accounting data'!I2:I65536,{"7*","8*","9*"},'Accounting data'!J2:J65536,"31*",'Accounting data'!K2:K65536,"6*"))-SUM(SUMIFS('Accounting data'!G2:G65536,'Accounting data'!H2:H65536,"1310-1399-C*",'Accounting data'!I2:I65536,{"7*","8*","9*"},'Accounting data'!J2:J65536,"31*",'Accounting data'!K2:K65536,"69*"))+SUM(SUMIFS('Accounting data'!G2:G65536,'Accounting data'!H2:H65536,"1227*",'Accounting data'!I2:I65536,{"7*","8*","9*"},'Accounting data'!J2:J65536,"31*",'Accounting data'!K2:K65536,"6*"))-SUM(SUMIFS('Accounting data'!G2:G65536,'Accounting data'!H2:H65536,"1227*",'Accounting data'!I2:I65536,{"7*","8*","9*"},'Accounting data'!J2:J65536,"31*",'Accounting data'!K2:K65536,"69*"))+SUM(SUMIFS('Accounting data'!G2:G65536,'Accounting data'!H2:H65536,"1228*",'Accounting data'!I2:I65536,{"7*","8*","9*"},'Accounting data'!J2:J65536,"31*",'Accounting data'!K2:K65536,"6*"))-SUM(SUMIFS('Accounting data'!G2:G65536,'Accounting data'!H2:H65536,"1228*",'Accounting data'!I2:I65536,{"7*","8*","9*"},'Accounting data'!J2:J65536,"31*",'Accounting data'!K2:K65536,"69*"))</f>
        <v>0</v>
      </c>
      <c r="N16" s="354">
        <f t="shared" si="0"/>
        <v>0</v>
      </c>
      <c r="O16" s="363"/>
    </row>
    <row r="17" spans="1:16" x14ac:dyDescent="0.2">
      <c r="A17" s="364" t="s">
        <v>430</v>
      </c>
      <c r="B17" s="365"/>
      <c r="C17" s="362" t="s">
        <v>38</v>
      </c>
      <c r="D17" s="352">
        <f t="array" ref="D17">SUM(SUMIFS('Accounting data'!G2:G65536,'Accounting data'!H2:H65536,"1310-1399-C*",'Accounting data'!I2:I65536,{"1*","2*","3*","4*","5*","6*"},'Accounting data'!J2:J65536,"34*",'Accounting data'!K2:K65536,"61*"))+SUM(SUMIFS('Accounting data'!G2:G65536,'Accounting data'!H2:H65536,"1227*",'Accounting data'!I2:I65536,{"1*","2*","3*","4*","5*","6*"},'Accounting data'!J2:J65536,"34*",'Accounting data'!K2:K65536,"61*"))+SUM(SUMIFS('Accounting data'!G2:G65536,'Accounting data'!H2:H65536,"1228*",'Accounting data'!I2:I65536,{"1*","2*","3*","4*","5*","6*"},'Accounting data'!J2:J65536,"34*",'Accounting data'!K2:K65536,"61*"))</f>
        <v>0</v>
      </c>
      <c r="E17" s="352">
        <f t="array" ref="E17">SUM(SUMIFS('Accounting data'!G2:G65536,'Accounting data'!H2:H65536,"1310-1399-C*",'Accounting data'!I2:I65536,{"1*","2*","3*","4*","5*","6*"},'Accounting data'!J2:J65536,"34*",'Accounting data'!K2:K65536,"62*"))+SUM(SUMIFS('Accounting data'!G2:G65536,'Accounting data'!H2:H65536,"1227*",'Accounting data'!I2:I65536,{"1*","2*","3*","4*","5*","6*"},'Accounting data'!J2:J65536,"34*",'Accounting data'!K2:K65536,"62*"))+SUM(SUMIFS('Accounting data'!G2:G65536,'Accounting data'!H2:H65536,"1228*",'Accounting data'!I2:I65536,{"1*","2*","3*","4*","5*","6*"},'Accounting data'!J2:J65536,"34*",'Accounting data'!K2:K65536,"62*"))</f>
        <v>0</v>
      </c>
      <c r="F17" s="352">
        <f t="array" ref="F17">SUM(SUMIFS('Accounting data'!G2:G65536,'Accounting data'!H2:H65536,"1310-1399-C*",'Accounting data'!I2:I65536,{"1*","2*","3*","4*","5*","6*"},'Accounting data'!J2:J65536,"34*",'Accounting data'!K2:K65536,"63*"))+SUM(SUMIFS('Accounting data'!G2:G65536,'Accounting data'!H2:H65536,"1227*",'Accounting data'!I2:I65536,{"1*","2*","3*","4*","5*","6*"},'Accounting data'!J2:J65536,"34*",'Accounting data'!K2:K65536,"63*"))+SUM(SUMIFS('Accounting data'!G2:G65536,'Accounting data'!H2:H65536,"1228*",'Accounting data'!I2:I65536,{"1*","2*","3*","4*","5*","6*"},'Accounting data'!J2:J65536,"34*",'Accounting data'!K2:K65536,"63*"))</f>
        <v>0</v>
      </c>
      <c r="G17" s="352">
        <f t="array" ref="G17">SUM(SUMIFS('Accounting data'!G2:G65536,'Accounting data'!H2:H65536,"1310-1399-C*",'Accounting data'!I2:I65536,{"1*","2*","3*","4*","5*","6*"},'Accounting data'!J2:J65536,"34*",'Accounting data'!K2:K65536,"66*"))+SUM(SUMIFS('Accounting data'!G2:G65536,'Accounting data'!H2:H65536,"1227*",'Accounting data'!I2:I65536,{"1*","2*","3*","4*","5*","6*"},'Accounting data'!J2:J65536,"34*",'Accounting data'!K2:K65536,"66*"))+SUM(SUMIFS('Accounting data'!G2:G65536,'Accounting data'!H2:H65536,"1228*",'Accounting data'!I2:I65536,{"1*","2*","3*","4*","5*","6*"},'Accounting data'!J2:J65536,"34*",'Accounting data'!K2:K65536,"66*"))</f>
        <v>0</v>
      </c>
      <c r="H17" s="352">
        <f t="array" ref="H17">SUM(SUMIFS('Accounting data'!G2:G65536,'Accounting data'!H2:H65536,"1310-1399-C*",'Accounting data'!I2:I65536,{"1*","2*","3*","4*","5*","6*"},'Accounting data'!J2:J65536,"34*",'Accounting data'!K2:K65536,"681*"))+SUM(SUMIFS('Accounting data'!G2:G65536,'Accounting data'!H2:H65536,"1227*",'Accounting data'!I2:I65536,{"1*","2*","3*","4*","5*","6*"},'Accounting data'!J2:J65536,"34*",'Accounting data'!K2:K65536,"681*"))+SUM(SUMIFS('Accounting data'!G2:G65536,'Accounting data'!H2:H65536,"1228*",'Accounting data'!I2:I65536,{"1*","2*","3*","4*","5*","6*"},'Accounting data'!J2:J65536,"34*",'Accounting data'!K2:K65536,"681*"))</f>
        <v>0</v>
      </c>
      <c r="I17" s="353"/>
      <c r="J17" s="352">
        <f t="array" ref="J17">SUM(SUMIFS('Accounting data'!G2:G65536,'Accounting data'!H2:H65536,"1310-1399-C*",'Accounting data'!I2:I65536,{"1*","2*","3*","4*","5*","6*"},'Accounting data'!J2:J65536,"34*",'Accounting data'!K2:K65536,"689*"))+SUM(SUMIFS('Accounting data'!G2:G65536,'Accounting data'!H2:H65536,"1227*",'Accounting data'!I2:I65536,{"1*","2*","3*","4*","5*","6*"},'Accounting data'!J2:J65536,"34*",'Accounting data'!K2:K65536,"689*"))+SUM(SUMIFS('Accounting data'!G2:G65536,'Accounting data'!H2:H65536,"1228*",'Accounting data'!I2:I65536,{"1*","2*","3*","4*","5*","6*"},'Accounting data'!J2:J65536,"34*",'Accounting data'!K2:K65536,"689*"))</f>
        <v>0</v>
      </c>
      <c r="K17" s="352">
        <f t="array" ref="K17">SUM(SUMIFS('Accounting data'!G2:G65536,'Accounting data'!H2:H65536,"1310-1399-C*",'Accounting data'!I2:I65536,{"1*","2*","3*","4*","5*","6*"},'Accounting data'!J2:J65536,"34*",'Accounting data'!K2:K65536,"683*"))+SUM(SUMIFS('Accounting data'!G2:G65536,'Accounting data'!H2:H65536,"1227*",'Accounting data'!I2:I65536,{"1*","2*","3*","4*","5*","6*"},'Accounting data'!J2:J65536,"34*",'Accounting data'!K2:K65536,"683*"))+SUM(SUMIFS('Accounting data'!G2:G65536,'Accounting data'!H2:H65536,"1228*",'Accounting data'!I2:I65536,{"1*","2*","3*","4*","5*","6*"},'Accounting data'!J2:J65536,"34*",'Accounting data'!K2:K65536,"683*"))</f>
        <v>0</v>
      </c>
      <c r="L17" s="35">
        <v>0</v>
      </c>
      <c r="M17" s="352">
        <f t="array" ref="M17">SUM(SUMIFS('Accounting data'!G2:G65536,'Accounting data'!H2:H65536,"1310-1399-C*",'Accounting data'!I2:I65536,{"7*","8*","9*"},'Accounting data'!J2:J65536,"34*",'Accounting data'!K2:K65536,"6*"))-SUM(SUMIFS('Accounting data'!G2:G65536,'Accounting data'!H2:H65536,"1310-1399-C*",'Accounting data'!I2:I65536,{"7*","8*","9*"},'Accounting data'!J2:J65536,"34*",'Accounting data'!K2:K65536,"69*"))+SUM(SUMIFS('Accounting data'!G2:G65536,'Accounting data'!H2:H65536,"1227*",'Accounting data'!I2:I65536,{"7*","8*","9*"},'Accounting data'!J2:J65536,"34*",'Accounting data'!K2:K65536,"6*"))-SUM(SUMIFS('Accounting data'!G2:G65536,'Accounting data'!H2:H65536,"1227*",'Accounting data'!I2:I65536,{"7*","8*","9*"},'Accounting data'!J2:J65536,"34*",'Accounting data'!K2:K65536,"69*"))+SUM(SUMIFS('Accounting data'!G2:G65536,'Accounting data'!H2:H65536,"1228*",'Accounting data'!I2:I65536,{"7*","8*","9*"},'Accounting data'!J2:J65536,"34*",'Accounting data'!K2:K65536,"6*"))-SUM(SUMIFS('Accounting data'!G2:G65536,'Accounting data'!H2:H65536,"1228*",'Accounting data'!I2:I65536,{"7*","8*","9*"},'Accounting data'!J2:J65536,"34*",'Accounting data'!K2:K65536,"69*"))</f>
        <v>0</v>
      </c>
      <c r="N17" s="354">
        <f t="shared" si="0"/>
        <v>0</v>
      </c>
      <c r="O17" s="363"/>
    </row>
    <row r="18" spans="1:16" x14ac:dyDescent="0.2">
      <c r="A18" s="366" t="s">
        <v>94</v>
      </c>
      <c r="B18" s="367"/>
      <c r="C18" s="368" t="s">
        <v>40</v>
      </c>
      <c r="D18" s="352">
        <f t="array" ref="D18">SUM(SUMIFS('Accounting data'!G2:G65536,'Accounting data'!H2:H65536,"1310-1399-C*",'Accounting data'!I2:I65536,{"1*","2*","3*","4*","5*","6*"},'Accounting data'!K2:K65536,"61*"))+SUM(SUMIFS('Accounting data'!G2:G65536,'Accounting data'!H2:H65536,"1227*",'Accounting data'!I2:I65536,{"1*","2*","3*","4*","5*","6*"},'Accounting data'!K2:K65536,"61*"))+SUM(SUMIFS('Accounting data'!G2:G65536,'Accounting data'!H2:H65536,"1228*",'Accounting data'!I2:I65536,{"1*","2*","3*","4*","5*","6*"},'Accounting data'!K2:K65536,"61*"))-SUM(D10:D17)</f>
        <v>0</v>
      </c>
      <c r="E18" s="352">
        <f t="array" ref="E18">SUM(SUMIFS('Accounting data'!G2:G65536,'Accounting data'!H2:H65536,"1310-1399-C*",'Accounting data'!I2:I65536,{"1*","2*","3*","4*","5*","6*"},'Accounting data'!K2:K65536,"62*"))+SUM(SUMIFS('Accounting data'!G2:G65536,'Accounting data'!H2:H65536,"1227*",'Accounting data'!I2:I65536,{"1*","2*","3*","4*","5*","6*"},'Accounting data'!K2:K65536,"62*"))+SUM(SUMIFS('Accounting data'!G2:G65536,'Accounting data'!H2:H65536,"1228*",'Accounting data'!I2:I65536,{"1*","2*","3*","4*","5*","6*"},'Accounting data'!K2:K65536,"62*"))-SUM(E10:E17)</f>
        <v>0</v>
      </c>
      <c r="F18" s="352">
        <f t="array" ref="F18">SUM(SUMIFS('Accounting data'!G2:G65536,'Accounting data'!H2:H65536,"1310-1399-C*",'Accounting data'!I2:I65536,{"1*","2*","3*","4*","5*","6*"},'Accounting data'!K2:K65536,"63*"))+SUM(SUMIFS('Accounting data'!G2:G65536,'Accounting data'!H2:H65536,"1227*",'Accounting data'!I2:I65536,{"1*","2*","3*","4*","5*","6*"},'Accounting data'!K2:K65536,"63*"))+SUM(SUMIFS('Accounting data'!G2:G65536,'Accounting data'!H2:H65536,"1228*",'Accounting data'!I2:I65536,{"1*","2*","3*","4*","5*","6*"},'Accounting data'!K2:K65536,"63*"))-SUM(F10:F17)</f>
        <v>0</v>
      </c>
      <c r="G18" s="352">
        <f t="array" ref="G18">SUM(SUMIFS('Accounting data'!G2:G65536,'Accounting data'!H2:H65536,"1310-1399-C*",'Accounting data'!I2:I65536,{"1*","2*","3*","4*","5*","6*"},'Accounting data'!K2:K65536,"66*"))+SUM(SUMIFS('Accounting data'!G2:G65536,'Accounting data'!H2:H65536,"1227*",'Accounting data'!I2:I65536,{"1*","2*","3*","4*","5*","6*"},'Accounting data'!K2:K65536,"66*"))+SUM(SUMIFS('Accounting data'!G2:G65536,'Accounting data'!H2:H65536,"1228*",'Accounting data'!I2:I65536,{"1*","2*","3*","4*","5*","6*"},'Accounting data'!K2:K65536,"66*"))-SUM(G10:G17)</f>
        <v>0</v>
      </c>
      <c r="H18" s="352">
        <f t="array" ref="H18">SUM(SUMIFS('Accounting data'!G2:G65536,'Accounting data'!H2:H65536,"1310-1399-C*",'Accounting data'!I2:I65536,{"1*","2*","3*","4*","5*","6*"},'Accounting data'!K2:K65536,"681*"))+SUM(SUMIFS('Accounting data'!G2:G65536,'Accounting data'!H2:H65536,"1227*",'Accounting data'!I2:I65536,{"1*","2*","3*","4*","5*","6*"},'Accounting data'!K2:K65536,"681*"))+SUM(SUMIFS('Accounting data'!G2:G65536,'Accounting data'!H2:H65536,"1228*",'Accounting data'!I2:I65536,{"1*","2*","3*","4*","5*","6*"},'Accounting data'!K2:K65536,"681*"))-SUM(H10:H17)</f>
        <v>0</v>
      </c>
      <c r="I18" s="353"/>
      <c r="J18" s="352">
        <f t="array" ref="J18">SUM(SUMIFS('Accounting data'!G2:G65536,'Accounting data'!H2:H65536,"1310-1399-C*",'Accounting data'!I2:I65536,{"1*","2*","3*","4*","5*","6*"},'Accounting data'!K2:K65536,"689*"))+SUM(SUMIFS('Accounting data'!G2:G65536,'Accounting data'!H2:H65536,"1227*",'Accounting data'!I2:I65536,{"1*","2*","3*","4*","5*","6*"},'Accounting data'!K2:K65536,"689*"))+SUM(SUMIFS('Accounting data'!G2:G65536,'Accounting data'!H2:H65536,"1228*",'Accounting data'!I2:I65536,{"1*","2*","3*","4*","5*","6*"},'Accounting data'!K2:K65536,"689*"))-SUM(J10:J17)</f>
        <v>0</v>
      </c>
      <c r="K18" s="352">
        <f t="array" ref="K18">SUM(SUMIFS('Accounting data'!G2:G65536,'Accounting data'!H2:H65536,"1310-1399-C*",'Accounting data'!I2:I65536,{"1*","2*","3*","4*","5*","6*"},'Accounting data'!K2:K65536,"683*"))+SUM(SUMIFS('Accounting data'!G2:G65536,'Accounting data'!H2:H65536,"1227*",'Accounting data'!I2:I65536,{"1*","2*","3*","4*","5*","6*"},'Accounting data'!K2:K65536,"683*"))+SUM(SUMIFS('Accounting data'!G2:G65536,'Accounting data'!H2:H65536,"1228*",'Accounting data'!I2:I65536,{"1*","2*","3*","4*","5*","6*"},'Accounting data'!K2:K65536,"683*"))-SUM(K10:K17)</f>
        <v>0</v>
      </c>
      <c r="L18" s="35">
        <v>0</v>
      </c>
      <c r="M18" s="352">
        <f t="array" ref="M18">SUM(SUMIFS('Accounting data'!G2:G65536,'Accounting data'!H2:H65536,"1310-1399-C*",'Accounting data'!I2:I65536,{"7*","8*","9*"},'Accounting data'!K2:K65536,"6*"))-SUM(SUMIFS('Accounting data'!G2:G65536,'Accounting data'!H2:H65536,"1310-1399-C*",'Accounting data'!I2:I65536,{"7*","8*","9*"},'Accounting data'!K2:K65536,"69*"))+SUM(SUMIFS('Accounting data'!G2:G65536,'Accounting data'!H2:H65536,"1227*",'Accounting data'!I2:I65536,{"7*","8*","9*"},'Accounting data'!K2:K65536,"6*"))-SUM(SUMIFS('Accounting data'!G2:G65536,'Accounting data'!H2:H65536,"1227*",'Accounting data'!I2:I65536,{"7*","8*","9*"},'Accounting data'!K2:K65536,"69*"))+SUM(SUMIFS('Accounting data'!G2:G65536,'Accounting data'!H2:H65536,"1228*",'Accounting data'!I2:I65536,{"7*","8*","9*"},'Accounting data'!K2:K65536,"6*"))-SUM(SUMIFS('Accounting data'!G2:G65536,'Accounting data'!H2:H65536,"1228*",'Accounting data'!I2:I65536,{"7*","8*","9*"},'Accounting data'!K2:K65536,"69*"))-SUM(M10:M17)</f>
        <v>0</v>
      </c>
      <c r="N18" s="354">
        <f t="shared" si="0"/>
        <v>0</v>
      </c>
      <c r="O18" s="363"/>
    </row>
    <row r="19" spans="1:16" x14ac:dyDescent="0.2">
      <c r="A19" s="369" t="s">
        <v>431</v>
      </c>
      <c r="B19" s="370"/>
      <c r="C19" s="371" t="s">
        <v>42</v>
      </c>
      <c r="D19" s="372">
        <f>SUM(D10:D18)</f>
        <v>0</v>
      </c>
      <c r="E19" s="372">
        <f t="shared" ref="E19:M19" si="1">SUM(E10:E18)</f>
        <v>0</v>
      </c>
      <c r="F19" s="372">
        <f t="shared" si="1"/>
        <v>36640</v>
      </c>
      <c r="G19" s="372">
        <f t="shared" si="1"/>
        <v>1385</v>
      </c>
      <c r="H19" s="372">
        <f t="shared" si="1"/>
        <v>0</v>
      </c>
      <c r="I19" s="372">
        <f t="shared" si="1"/>
        <v>0</v>
      </c>
      <c r="J19" s="372">
        <f t="shared" si="1"/>
        <v>0</v>
      </c>
      <c r="K19" s="372">
        <f t="shared" si="1"/>
        <v>0</v>
      </c>
      <c r="L19" s="372">
        <f t="shared" si="1"/>
        <v>0</v>
      </c>
      <c r="M19" s="372">
        <f t="shared" si="1"/>
        <v>0</v>
      </c>
      <c r="N19" s="354">
        <f t="shared" si="0"/>
        <v>38025</v>
      </c>
      <c r="O19" s="363"/>
    </row>
    <row r="20" spans="1:16" x14ac:dyDescent="0.2">
      <c r="H20" s="323"/>
      <c r="I20" s="323"/>
      <c r="J20" s="323"/>
      <c r="K20" s="323"/>
      <c r="L20" s="373"/>
    </row>
    <row r="21" spans="1:16" ht="34.5" customHeight="1" x14ac:dyDescent="0.2">
      <c r="A21" s="925" t="s">
        <v>432</v>
      </c>
      <c r="B21" s="926"/>
      <c r="C21" s="927"/>
      <c r="D21" s="610" t="s">
        <v>433</v>
      </c>
      <c r="E21" s="36" t="s">
        <v>434</v>
      </c>
      <c r="G21" s="374" t="s">
        <v>435</v>
      </c>
      <c r="H21" s="375"/>
      <c r="I21" s="375"/>
      <c r="J21" s="376"/>
      <c r="L21" s="377" t="s">
        <v>436</v>
      </c>
      <c r="M21" s="378"/>
      <c r="N21" s="378"/>
      <c r="O21" s="379"/>
    </row>
    <row r="22" spans="1:16" x14ac:dyDescent="0.2">
      <c r="A22" s="380" t="s">
        <v>437</v>
      </c>
      <c r="B22" s="381"/>
      <c r="C22" s="382"/>
      <c r="D22" s="37">
        <v>0</v>
      </c>
      <c r="E22" s="38">
        <v>0</v>
      </c>
      <c r="G22" s="383" t="s">
        <v>438</v>
      </c>
      <c r="H22" s="384"/>
      <c r="I22" s="385"/>
      <c r="J22" s="37">
        <v>0</v>
      </c>
      <c r="L22" s="383" t="s">
        <v>439</v>
      </c>
      <c r="M22" s="384"/>
      <c r="N22" s="385"/>
      <c r="O22" s="39">
        <f>ROUND(SUM(SUMIFS('Accounting data'!G2:G65536,'Accounting data'!H2:H65536,"1310-1399-C*",'Accounting data'!K2:K65536,"69*")),0)+ROUND(SUM(SUMIFS('Accounting data'!G2:G65536,'Accounting data'!H2:H65536,"1227*",'Accounting data'!K2:K65536,"69*")),0)+ROUND(SUM(SUMIFS('Accounting data'!G2:G65536,'Accounting data'!H2:H65536,"1228*",'Accounting data'!K2:K65536,"69*")),0)</f>
        <v>0</v>
      </c>
    </row>
    <row r="23" spans="1:16" x14ac:dyDescent="0.2">
      <c r="A23" s="383" t="s">
        <v>440</v>
      </c>
      <c r="B23" s="384"/>
      <c r="C23" s="385"/>
      <c r="D23" s="37">
        <v>0</v>
      </c>
      <c r="E23" s="48">
        <v>0</v>
      </c>
      <c r="G23" s="386" t="s">
        <v>441</v>
      </c>
      <c r="H23" s="387"/>
      <c r="I23" s="385"/>
      <c r="J23" s="37">
        <v>0</v>
      </c>
    </row>
    <row r="24" spans="1:16" x14ac:dyDescent="0.2">
      <c r="A24" s="383" t="s">
        <v>442</v>
      </c>
      <c r="B24" s="384"/>
      <c r="C24" s="388"/>
      <c r="D24" s="37">
        <v>0</v>
      </c>
      <c r="E24" s="546">
        <v>0</v>
      </c>
      <c r="G24" s="582" t="s">
        <v>443</v>
      </c>
      <c r="H24" s="583"/>
      <c r="I24" s="385"/>
      <c r="J24" s="37">
        <v>0</v>
      </c>
      <c r="L24" s="374" t="s">
        <v>444</v>
      </c>
      <c r="M24" s="375"/>
      <c r="N24" s="375"/>
      <c r="O24" s="376"/>
    </row>
    <row r="25" spans="1:16" x14ac:dyDescent="0.2">
      <c r="A25" s="383" t="s">
        <v>445</v>
      </c>
      <c r="B25" s="384"/>
      <c r="C25" s="388"/>
      <c r="D25" s="37">
        <v>0</v>
      </c>
      <c r="E25" s="546">
        <v>0</v>
      </c>
      <c r="G25" s="582" t="s">
        <v>446</v>
      </c>
      <c r="H25" s="583"/>
      <c r="I25" s="385"/>
      <c r="J25" s="37">
        <v>0</v>
      </c>
      <c r="L25" s="390" t="s">
        <v>447</v>
      </c>
      <c r="M25" s="391"/>
      <c r="N25" s="388"/>
      <c r="O25" s="37">
        <v>0</v>
      </c>
    </row>
    <row r="26" spans="1:16" x14ac:dyDescent="0.2">
      <c r="A26" s="383" t="s">
        <v>448</v>
      </c>
      <c r="B26" s="384"/>
      <c r="C26" s="388"/>
      <c r="D26" s="37">
        <v>0</v>
      </c>
      <c r="E26" s="546">
        <v>0</v>
      </c>
      <c r="G26" s="582" t="s">
        <v>449</v>
      </c>
      <c r="H26" s="583"/>
      <c r="I26" s="385"/>
      <c r="J26" s="37">
        <v>0</v>
      </c>
      <c r="L26" s="390" t="s">
        <v>450</v>
      </c>
      <c r="M26" s="391"/>
      <c r="N26" s="388"/>
      <c r="O26" s="37">
        <v>0</v>
      </c>
    </row>
    <row r="27" spans="1:16" x14ac:dyDescent="0.2">
      <c r="A27" s="392" t="s">
        <v>451</v>
      </c>
      <c r="B27" s="393"/>
      <c r="C27" s="394"/>
      <c r="D27" s="37">
        <v>0</v>
      </c>
      <c r="E27" s="38">
        <v>0</v>
      </c>
      <c r="L27" s="390" t="s">
        <v>452</v>
      </c>
      <c r="M27" s="391"/>
      <c r="N27" s="388"/>
      <c r="O27" s="37">
        <v>0</v>
      </c>
    </row>
    <row r="28" spans="1:16" x14ac:dyDescent="0.2">
      <c r="A28" s="395" t="s">
        <v>453</v>
      </c>
      <c r="B28" s="396"/>
      <c r="C28" s="397"/>
      <c r="D28" s="40">
        <v>0</v>
      </c>
      <c r="E28" s="389">
        <f>D28</f>
        <v>0</v>
      </c>
      <c r="L28" s="324"/>
      <c r="M28" s="324"/>
      <c r="N28" s="324"/>
      <c r="O28" s="41"/>
    </row>
    <row r="29" spans="1:16" x14ac:dyDescent="0.2">
      <c r="A29" s="928"/>
      <c r="B29" s="928"/>
      <c r="C29" s="928"/>
      <c r="D29" s="398"/>
    </row>
    <row r="30" spans="1:16" ht="15" customHeight="1" x14ac:dyDescent="0.2">
      <c r="A30" s="333"/>
      <c r="B30" s="333"/>
      <c r="C30" s="333"/>
      <c r="D30" s="333"/>
      <c r="G30" s="374" t="s">
        <v>454</v>
      </c>
      <c r="H30" s="375"/>
      <c r="I30" s="375"/>
      <c r="J30" s="376"/>
      <c r="L30" s="919" t="str">
        <f>IF(OR(D19&lt;0,E19&lt;0,F19&lt;0,G19&lt;0,H19&lt;0,J19&lt;0,K19&lt;0,L19&lt;0,M19&lt;0,N19&lt;0),"Line 9 in the current expenses table should not contain negative amounts. Click the instruction link in cell A18 for more information.","")</f>
        <v/>
      </c>
      <c r="M30" s="919" t="str">
        <f t="shared" ref="M30:P32" si="2">IF(OR(E19&lt;0,F19&lt;0,G19&lt;0,H19&lt;0,I19&lt;0,K19&lt;0,L19&lt;0,M19&lt;0,N19&lt;0,O19&lt;0),"Table A, line 9 should not contain negative amounts. Click the the instruction link in cell A18 for more information.","")</f>
        <v/>
      </c>
      <c r="N30" s="919" t="str">
        <f t="shared" si="2"/>
        <v/>
      </c>
      <c r="O30" s="919" t="str">
        <f t="shared" si="2"/>
        <v/>
      </c>
      <c r="P30" s="919" t="str">
        <f t="shared" si="2"/>
        <v/>
      </c>
    </row>
    <row r="31" spans="1:16" ht="15" customHeight="1" x14ac:dyDescent="0.2">
      <c r="E31" s="399"/>
      <c r="G31" s="400" t="s">
        <v>455</v>
      </c>
      <c r="H31" s="384"/>
      <c r="I31" s="384"/>
      <c r="J31" s="401">
        <f>ROUND(SUMIFS('Accounting data'!G2:G65536,'Accounting data'!H2:H65536,"1310-1399-C*",'Accounting data'!K2:K65536,"685*"),0)</f>
        <v>0</v>
      </c>
      <c r="L31" s="919" t="str">
        <f>IF(OR(D20&lt;0,E20&lt;0,F20&lt;0,G20&lt;0,H20&lt;0,J20&lt;0,K20&lt;0,L20&lt;0,M20&lt;0,N20&lt;0),"Table A, line 9 should not contain negative amounts. Click the the instruction link in cell A18 for more information.","")</f>
        <v/>
      </c>
      <c r="M31" s="919" t="str">
        <f t="shared" si="2"/>
        <v/>
      </c>
      <c r="N31" s="919" t="str">
        <f t="shared" si="2"/>
        <v/>
      </c>
      <c r="O31" s="919" t="str">
        <f t="shared" si="2"/>
        <v/>
      </c>
      <c r="P31" s="919" t="str">
        <f t="shared" si="2"/>
        <v/>
      </c>
    </row>
    <row r="32" spans="1:16" ht="15" customHeight="1" x14ac:dyDescent="0.2">
      <c r="E32" s="355"/>
      <c r="G32" s="400" t="s">
        <v>456</v>
      </c>
      <c r="H32" s="384"/>
      <c r="I32" s="384"/>
      <c r="J32" s="37">
        <v>0</v>
      </c>
      <c r="L32" s="919" t="str">
        <f>IF(OR(D21&lt;0,E21&lt;0,F21&lt;0,G21&lt;0,H21&lt;0,J21&lt;0,K21&lt;0,L21&lt;0,M21&lt;0,N21&lt;0),"Table A, line 9 should not contain negative amounts. Click the the instruction link in cell A18 for more information.","")</f>
        <v/>
      </c>
      <c r="M32" s="919" t="str">
        <f t="shared" si="2"/>
        <v/>
      </c>
      <c r="N32" s="919" t="str">
        <f t="shared" si="2"/>
        <v/>
      </c>
      <c r="O32" s="919" t="str">
        <f t="shared" si="2"/>
        <v/>
      </c>
      <c r="P32" s="919" t="str">
        <f t="shared" si="2"/>
        <v/>
      </c>
    </row>
    <row r="33" spans="1:28" ht="12.75" customHeight="1" x14ac:dyDescent="0.2">
      <c r="E33" s="402"/>
      <c r="K33" s="403"/>
      <c r="L33" s="42"/>
      <c r="M33" s="42"/>
      <c r="N33" s="43"/>
      <c r="O33" s="42"/>
      <c r="AB33" s="330" t="s">
        <v>457</v>
      </c>
    </row>
    <row r="34" spans="1:28" ht="11.25" customHeight="1" x14ac:dyDescent="0.2">
      <c r="E34" s="404"/>
      <c r="G34" s="324"/>
      <c r="M34" s="405"/>
      <c r="N34" s="406"/>
      <c r="O34" s="406"/>
    </row>
    <row r="35" spans="1:28" ht="37.5" customHeight="1" x14ac:dyDescent="0.2">
      <c r="A35" s="932" t="s">
        <v>458</v>
      </c>
      <c r="B35" s="933"/>
      <c r="C35" s="934"/>
      <c r="D35" s="903" t="s">
        <v>459</v>
      </c>
      <c r="E35" s="905" t="s">
        <v>1327</v>
      </c>
      <c r="F35" s="905" t="s">
        <v>1328</v>
      </c>
      <c r="G35" s="903" t="s">
        <v>460</v>
      </c>
      <c r="J35" s="374" t="s">
        <v>461</v>
      </c>
      <c r="K35" s="60"/>
      <c r="L35" s="60"/>
      <c r="M35" s="60"/>
      <c r="N35" s="61"/>
      <c r="R35" s="323"/>
      <c r="V35" s="329"/>
    </row>
    <row r="36" spans="1:28" ht="25.5" customHeight="1" x14ac:dyDescent="0.2">
      <c r="A36" s="935"/>
      <c r="B36" s="827"/>
      <c r="C36" s="936"/>
      <c r="D36" s="904"/>
      <c r="E36" s="906"/>
      <c r="F36" s="906"/>
      <c r="G36" s="904"/>
      <c r="J36" s="937" t="s">
        <v>462</v>
      </c>
      <c r="K36" s="938"/>
      <c r="L36" s="938"/>
      <c r="M36" s="939"/>
      <c r="N36" s="411">
        <v>0</v>
      </c>
      <c r="Q36" s="44"/>
      <c r="R36" s="45"/>
      <c r="V36" s="329"/>
    </row>
    <row r="37" spans="1:28" ht="12.75" customHeight="1" x14ac:dyDescent="0.2">
      <c r="A37" s="46" t="s">
        <v>463</v>
      </c>
      <c r="B37" s="47"/>
      <c r="C37" s="47"/>
      <c r="D37" s="48">
        <v>0</v>
      </c>
      <c r="E37" s="48">
        <v>0</v>
      </c>
      <c r="F37" s="353"/>
      <c r="G37" s="353"/>
      <c r="J37" s="937" t="s">
        <v>464</v>
      </c>
      <c r="K37" s="938"/>
      <c r="L37" s="938"/>
      <c r="M37" s="939"/>
      <c r="N37" s="411">
        <v>0</v>
      </c>
      <c r="R37" s="323"/>
      <c r="V37" s="329"/>
    </row>
    <row r="38" spans="1:28" ht="12.75" customHeight="1" x14ac:dyDescent="0.2">
      <c r="A38" s="46" t="s">
        <v>465</v>
      </c>
      <c r="B38" s="47"/>
      <c r="C38" s="47"/>
      <c r="D38" s="48">
        <v>0</v>
      </c>
      <c r="E38" s="48">
        <v>0</v>
      </c>
      <c r="F38" s="48">
        <v>0</v>
      </c>
      <c r="G38" s="372">
        <f>ROUND(D38-E38-F38,0)</f>
        <v>0</v>
      </c>
      <c r="J38" s="937" t="s">
        <v>466</v>
      </c>
      <c r="K38" s="938"/>
      <c r="L38" s="938"/>
      <c r="M38" s="939"/>
      <c r="N38" s="411">
        <v>0</v>
      </c>
      <c r="R38" s="323"/>
      <c r="V38" s="329"/>
    </row>
    <row r="39" spans="1:28" ht="12.75" customHeight="1" x14ac:dyDescent="0.2">
      <c r="A39" s="46" t="s">
        <v>467</v>
      </c>
      <c r="B39" s="47"/>
      <c r="C39" s="47"/>
      <c r="D39" s="48">
        <v>0</v>
      </c>
      <c r="E39" s="48">
        <v>0</v>
      </c>
      <c r="F39" s="48">
        <v>0</v>
      </c>
      <c r="G39" s="372">
        <f>ROUND(D39-E39-F39,0)</f>
        <v>0</v>
      </c>
      <c r="J39" s="929" t="s">
        <v>468</v>
      </c>
      <c r="K39" s="930"/>
      <c r="L39" s="930"/>
      <c r="M39" s="931"/>
      <c r="N39" s="412">
        <v>0</v>
      </c>
      <c r="R39" s="323"/>
      <c r="V39" s="329"/>
    </row>
    <row r="40" spans="1:28" ht="12.75" customHeight="1" x14ac:dyDescent="0.2">
      <c r="A40" s="46" t="s">
        <v>469</v>
      </c>
      <c r="B40" s="47"/>
      <c r="C40" s="47"/>
      <c r="D40" s="48">
        <v>0</v>
      </c>
      <c r="E40" s="48">
        <v>0</v>
      </c>
      <c r="F40" s="48">
        <v>0</v>
      </c>
      <c r="G40" s="372">
        <f>ROUND(D40-E40-F40,0)</f>
        <v>0</v>
      </c>
      <c r="J40" s="929" t="s">
        <v>470</v>
      </c>
      <c r="K40" s="930"/>
      <c r="L40" s="930"/>
      <c r="M40" s="931"/>
      <c r="N40" s="413">
        <f>ROUND(N36-N37-N39,0)</f>
        <v>0</v>
      </c>
      <c r="R40" s="323"/>
      <c r="V40" s="329"/>
    </row>
    <row r="41" spans="1:28" ht="12.75" customHeight="1" x14ac:dyDescent="0.2">
      <c r="A41" s="46" t="s">
        <v>471</v>
      </c>
      <c r="B41" s="47"/>
      <c r="C41" s="47"/>
      <c r="D41" s="48">
        <v>97283</v>
      </c>
      <c r="E41" s="48">
        <v>97283</v>
      </c>
      <c r="F41" s="48">
        <v>0</v>
      </c>
      <c r="G41" s="372">
        <f>ROUND(D41-E41-F41,0)</f>
        <v>0</v>
      </c>
    </row>
    <row r="42" spans="1:28" ht="12.75" customHeight="1" x14ac:dyDescent="0.2">
      <c r="A42" s="49" t="s">
        <v>472</v>
      </c>
      <c r="B42" s="47"/>
      <c r="C42" s="47"/>
      <c r="D42" s="48">
        <v>502773</v>
      </c>
      <c r="E42" s="48">
        <v>464748</v>
      </c>
      <c r="F42" s="48">
        <v>38025</v>
      </c>
      <c r="G42" s="372">
        <f>ROUND(D42-E42-F42,0)</f>
        <v>0</v>
      </c>
    </row>
    <row r="43" spans="1:28" ht="12.75" customHeight="1" x14ac:dyDescent="0.2">
      <c r="A43" s="920" t="s">
        <v>473</v>
      </c>
      <c r="B43" s="921"/>
      <c r="C43" s="922"/>
      <c r="D43" s="407">
        <f>ROUND(SUM(D37:D42),0)</f>
        <v>600056</v>
      </c>
      <c r="E43" s="407">
        <f>ROUND(SUM(E37:E42),0)</f>
        <v>562031</v>
      </c>
      <c r="F43" s="407">
        <f>ROUND(SUM(F37:F42),0)</f>
        <v>38025</v>
      </c>
      <c r="G43" s="407">
        <f>ROUND(SUM(G37:G42),0)</f>
        <v>0</v>
      </c>
    </row>
    <row r="44" spans="1:28" x14ac:dyDescent="0.2">
      <c r="F44" s="408"/>
    </row>
    <row r="45" spans="1:28" x14ac:dyDescent="0.2">
      <c r="E45" s="689" t="s">
        <v>1367</v>
      </c>
      <c r="F45" s="50">
        <f>ROUND(N19+O22+O25+O26+O27+J31+J32,0)</f>
        <v>38025</v>
      </c>
      <c r="H45" s="923" t="str">
        <f>IF(OR(G37&lt;0,G38&lt;0,G39&lt;0,G40&lt;0,G41&lt;0,G42&lt;0,G43&lt;0),"Column G should not contain negative amounts. Click the instruction link in cell G36 for more information.","")</f>
        <v/>
      </c>
      <c r="I45" s="924"/>
      <c r="J45" s="924"/>
      <c r="K45" s="924"/>
    </row>
    <row r="46" spans="1:28" ht="12.75" customHeight="1" x14ac:dyDescent="0.2">
      <c r="A46" s="409"/>
      <c r="B46" s="409"/>
      <c r="C46" s="410"/>
      <c r="F46" s="923" t="str">
        <f>IF(F45&lt;&gt;F43,"Total in cell F43 should agree to amount in cell F45","")</f>
        <v/>
      </c>
      <c r="G46" s="923"/>
      <c r="H46" s="924"/>
      <c r="I46" s="924"/>
      <c r="J46" s="924"/>
      <c r="K46" s="924"/>
    </row>
    <row r="47" spans="1:28" ht="12.75" customHeight="1" x14ac:dyDescent="0.2">
      <c r="A47" s="409"/>
      <c r="B47" s="409"/>
      <c r="C47" s="410"/>
      <c r="F47" s="923"/>
      <c r="G47" s="923"/>
      <c r="H47" s="924"/>
      <c r="I47" s="924"/>
      <c r="J47" s="924"/>
      <c r="K47" s="924"/>
    </row>
    <row r="48" spans="1:28" ht="12.75" customHeight="1" x14ac:dyDescent="0.2">
      <c r="A48" s="410"/>
      <c r="B48" s="410"/>
      <c r="C48" s="410"/>
      <c r="F48" s="923"/>
      <c r="G48" s="923"/>
      <c r="H48" s="924"/>
      <c r="I48" s="924"/>
      <c r="J48" s="924"/>
      <c r="K48" s="924"/>
    </row>
    <row r="49" spans="1:7" ht="12.75" customHeight="1" x14ac:dyDescent="0.2">
      <c r="A49" s="410"/>
      <c r="B49" s="410"/>
      <c r="C49" s="410"/>
      <c r="F49" s="923"/>
      <c r="G49" s="923"/>
    </row>
  </sheetData>
  <sheetProtection sheet="1" objects="1" scenarios="1"/>
  <mergeCells count="22">
    <mergeCell ref="A43:C43"/>
    <mergeCell ref="H45:K48"/>
    <mergeCell ref="F46:G49"/>
    <mergeCell ref="A21:C21"/>
    <mergeCell ref="A29:C29"/>
    <mergeCell ref="J40:M40"/>
    <mergeCell ref="A35:C36"/>
    <mergeCell ref="J36:M36"/>
    <mergeCell ref="J37:M37"/>
    <mergeCell ref="J38:M38"/>
    <mergeCell ref="J39:M39"/>
    <mergeCell ref="A5:A6"/>
    <mergeCell ref="D5:L5"/>
    <mergeCell ref="N5:N9"/>
    <mergeCell ref="A8:C9"/>
    <mergeCell ref="L30:P32"/>
    <mergeCell ref="B1:E1"/>
    <mergeCell ref="H1:I1"/>
    <mergeCell ref="D35:D36"/>
    <mergeCell ref="E35:E36"/>
    <mergeCell ref="F35:F36"/>
    <mergeCell ref="G35:G36"/>
  </mergeCells>
  <conditionalFormatting sqref="B1:E1">
    <cfRule type="expression" dxfId="35" priority="42" stopIfTrue="1">
      <formula>B1=""</formula>
    </cfRule>
  </conditionalFormatting>
  <conditionalFormatting sqref="D22:D28">
    <cfRule type="expression" dxfId="34" priority="24" stopIfTrue="1">
      <formula>D22=""</formula>
    </cfRule>
  </conditionalFormatting>
  <conditionalFormatting sqref="D37:E42 F38:F42">
    <cfRule type="expression" dxfId="33" priority="5" stopIfTrue="1">
      <formula>D37=""</formula>
    </cfRule>
  </conditionalFormatting>
  <conditionalFormatting sqref="E22:E27">
    <cfRule type="expression" dxfId="32" priority="18" stopIfTrue="1">
      <formula>E22=""</formula>
    </cfRule>
  </conditionalFormatting>
  <conditionalFormatting sqref="G38:G42">
    <cfRule type="cellIs" dxfId="31" priority="8" stopIfTrue="1" operator="lessThan">
      <formula>0</formula>
    </cfRule>
  </conditionalFormatting>
  <conditionalFormatting sqref="H1:I1">
    <cfRule type="expression" dxfId="30" priority="41" stopIfTrue="1">
      <formula>H1=""</formula>
    </cfRule>
  </conditionalFormatting>
  <conditionalFormatting sqref="J22:J26">
    <cfRule type="expression" dxfId="29" priority="13" stopIfTrue="1">
      <formula>J22=""</formula>
    </cfRule>
  </conditionalFormatting>
  <conditionalFormatting sqref="J32">
    <cfRule type="expression" dxfId="28" priority="12" stopIfTrue="1">
      <formula>J32=""</formula>
    </cfRule>
  </conditionalFormatting>
  <conditionalFormatting sqref="L1">
    <cfRule type="expression" dxfId="27" priority="40" stopIfTrue="1">
      <formula>L1=""</formula>
    </cfRule>
  </conditionalFormatting>
  <conditionalFormatting sqref="L10:L18">
    <cfRule type="expression" dxfId="26" priority="31" stopIfTrue="1">
      <formula>L10=""</formula>
    </cfRule>
  </conditionalFormatting>
  <conditionalFormatting sqref="N36:N39">
    <cfRule type="expression" dxfId="25" priority="1" stopIfTrue="1">
      <formula>N36=""</formula>
    </cfRule>
  </conditionalFormatting>
  <conditionalFormatting sqref="O25:O27">
    <cfRule type="expression" dxfId="24" priority="9" stopIfTrue="1">
      <formula>O25=""</formula>
    </cfRule>
  </conditionalFormatting>
  <dataValidations count="148">
    <dataValidation type="whole" allowBlank="1" showInputMessage="1" showErrorMessage="1" errorTitle="Input error" error="The amount entered should be rounded to the nearest dollar and should not exceed the remaining Other funds balance (column D minus columns E and F)." sqref="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xr:uid="{00000000-0002-0000-0B00-000000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xr:uid="{00000000-0002-0000-0B00-000001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xr:uid="{00000000-0002-0000-0B00-000002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xr:uid="{00000000-0002-0000-0B00-000003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xr:uid="{00000000-0002-0000-0B00-000004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xr:uid="{00000000-0002-0000-0B00-000005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xr:uid="{00000000-0002-0000-0B00-000006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xr:uid="{00000000-0002-0000-0B00-000007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xr:uid="{00000000-0002-0000-0B00-000008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xr:uid="{00000000-0002-0000-0B00-000009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OMY983082 OWU983082 PGQ983082 PQM983082 QAI983082 QKE983082 QUA983082 RDW983082 RNS983082 RXO983082 SHK983082 SRG983082 TBC983082 TKY983082 TUU983082 UEQ983082 UOM983082 UYI983082 VIE983082 VSA983082 WBW983082 WLS983082 WVO983082" xr:uid="{00000000-0002-0000-0B00-00000A000000}">
      <formula1>0</formula1>
      <formula2>IZ42-JA42-JB42</formula2>
    </dataValidation>
    <dataValidation type="whole" allowBlank="1" showInputMessage="1" showErrorMessage="1" errorTitle="Input error" error="The amount entered should be rounded to the nearest dollar and should not exceed the remaining ESSER I fund balance (column D minus columns E and F)."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xr:uid="{00000000-0002-0000-0B00-00000B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xr:uid="{00000000-0002-0000-0B00-00000C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xr:uid="{00000000-0002-0000-0B00-00000D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xr:uid="{00000000-0002-0000-0B00-00000E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xr:uid="{00000000-0002-0000-0B00-00000F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xr:uid="{00000000-0002-0000-0B00-000010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xr:uid="{00000000-0002-0000-0B00-000011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xr:uid="{00000000-0002-0000-0B00-000012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xr:uid="{00000000-0002-0000-0B00-000013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xr:uid="{00000000-0002-0000-0B00-000014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OMY983077 OWU983077 PGQ983077 PQM983077 QAI983077 QKE983077 QUA983077 RDW983077 RNS983077 RXO983077 SHK983077 SRG983077 TBC983077 TKY983077 TUU983077 UEQ983077 UOM983077 UYI983077 VIE983077 VSA983077 WBW983077 WLS983077 WVO983077" xr:uid="{00000000-0002-0000-0B00-000015000000}">
      <formula1>0</formula1>
      <formula2>IZ37-JA37-JB37</formula2>
    </dataValidation>
    <dataValidation type="whole" allowBlank="1" showInputMessage="1" showErrorMessage="1" errorTitle="Input error" error="The amount entered should be rounded to the nearest dollar and should not exceed the remaining ESSER II fund balance (column D minus columns E and F)." sqref="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xr:uid="{00000000-0002-0000-0B00-000016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xr:uid="{00000000-0002-0000-0B00-000017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xr:uid="{00000000-0002-0000-0B00-000018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xr:uid="{00000000-0002-0000-0B00-000019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xr:uid="{00000000-0002-0000-0B00-00001A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xr:uid="{00000000-0002-0000-0B00-00001B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xr:uid="{00000000-0002-0000-0B00-00001C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xr:uid="{00000000-0002-0000-0B00-00001D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xr:uid="{00000000-0002-0000-0B00-00001E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xr:uid="{00000000-0002-0000-0B00-00001F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MY983078 OWU983078 PGQ983078 PQM983078 QAI983078 QKE983078 QUA983078 RDW983078 RNS983078 RXO983078 SHK983078 SRG983078 TBC983078 TKY983078 TUU983078 UEQ983078 UOM983078 UYI983078 VIE983078 VSA983078 WBW983078 WLS983078 WVO983078" xr:uid="{00000000-0002-0000-0B00-000020000000}">
      <formula1>0</formula1>
      <formula2>IZ38-JA38-JB38</formula2>
    </dataValidation>
    <dataValidation type="whole" allowBlank="1" showInputMessage="1" showErrorMessage="1" errorTitle="Input error" error="The amount entered should be rounded to the nearest dollar and should not exceed the remaining ESG Fund balance (column D minus columns E and F)." sqref="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xr:uid="{00000000-0002-0000-0B00-000021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xr:uid="{00000000-0002-0000-0B00-000022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xr:uid="{00000000-0002-0000-0B00-000023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xr:uid="{00000000-0002-0000-0B00-000024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xr:uid="{00000000-0002-0000-0B00-000025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xr:uid="{00000000-0002-0000-0B00-000026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xr:uid="{00000000-0002-0000-0B00-000027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xr:uid="{00000000-0002-0000-0B00-000028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xr:uid="{00000000-0002-0000-0B00-000029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xr:uid="{00000000-0002-0000-0B00-00002A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OMY983081 OWU983081 PGQ983081 PQM983081 QAI983081 QKE983081 QUA983081 RDW983081 RNS983081 RXO983081 SHK983081 SRG983081 TBC983081 TKY983081 TUU983081 UEQ983081 UOM983081 UYI983081 VIE983081 VSA983081 WBW983081 WLS983081 WVO983081" xr:uid="{00000000-0002-0000-0B00-00002B000000}">
      <formula1>0</formula1>
      <formula2>IZ41-JA41-JB41</formula2>
    </dataValidation>
    <dataValidation type="whole" allowBlank="1" showInputMessage="1" showErrorMessage="1" errorTitle="Input error" error="The amount entered should be rounded to the nearest dollar and should not exceed the remaining GEER fund balance (column D minus columns E and F)." sqref="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xr:uid="{00000000-0002-0000-0B00-00002C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xr:uid="{00000000-0002-0000-0B00-00002D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xr:uid="{00000000-0002-0000-0B00-00002E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xr:uid="{00000000-0002-0000-0B00-00002F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xr:uid="{00000000-0002-0000-0B00-000030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xr:uid="{00000000-0002-0000-0B00-000031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xr:uid="{00000000-0002-0000-0B00-000032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xr:uid="{00000000-0002-0000-0B00-000033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xr:uid="{00000000-0002-0000-0B00-000034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xr:uid="{00000000-0002-0000-0B00-000035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OMY983080 OWU983080 PGQ983080 PQM983080 QAI983080 QKE983080 QUA983080 RDW983080 RNS983080 RXO983080 SHK983080 SRG983080 TBC983080 TKY983080 TUU983080 UEQ983080 UOM983080 UYI983080 VIE983080 VSA983080 WBW983080 WLS983080 WVO983080" xr:uid="{00000000-0002-0000-0B00-000036000000}">
      <formula1>0</formula1>
      <formula2>IZ40-JA40-JB40</formula2>
    </dataValidation>
    <dataValidation type="whole" allowBlank="1" showInputMessage="1" showErrorMessage="1" errorTitle="Input error" error="The amount entered should be rounded to the nearest dollar and should not exceed the remaining ESSER III fund balance (column D minus columns E and F)." sqref="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xr:uid="{00000000-0002-0000-0B00-000037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xr:uid="{00000000-0002-0000-0B00-000038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xr:uid="{00000000-0002-0000-0B00-000039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xr:uid="{00000000-0002-0000-0B00-00003A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xr:uid="{00000000-0002-0000-0B00-00003B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xr:uid="{00000000-0002-0000-0B00-00003C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xr:uid="{00000000-0002-0000-0B00-00003D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xr:uid="{00000000-0002-0000-0B00-00003E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xr:uid="{00000000-0002-0000-0B00-00003F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xr:uid="{00000000-0002-0000-0B00-000040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MY983079 OWU983079 PGQ983079 PQM983079 QAI983079 QKE983079 QUA983079 RDW983079 RNS983079 RXO983079 SHK983079 SRG983079 TBC983079 TKY983079 TUU983079 UEQ983079 UOM983079 UYI983079 VIE983079 VSA983079 WBW983079 WLS983079 WVO983079" xr:uid="{00000000-0002-0000-0B00-000041000000}">
      <formula1>0</formula1>
      <formula2>IZ39-JA39-JB39</formula2>
    </dataValidation>
    <dataValidation type="whole" allowBlank="1" showInputMessage="1" showErrorMessage="1" errorTitle="Input error" error="The amount entered should be rounded to the nearest dollar and should not exceed the remaining ESSER III fund balance (column D minus column E)." sqref="MFV6557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xr:uid="{00000000-0002-0000-0B00-000042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xr:uid="{00000000-0002-0000-0B00-000043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xr:uid="{00000000-0002-0000-0B00-000044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xr:uid="{00000000-0002-0000-0B00-000045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xr:uid="{00000000-0002-0000-0B00-000046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xr:uid="{00000000-0002-0000-0B00-000047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xr:uid="{00000000-0002-0000-0B00-000048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xr:uid="{00000000-0002-0000-0B00-000049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xr:uid="{00000000-0002-0000-0B00-00004A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xr:uid="{00000000-0002-0000-0B00-00004B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ODB983079 OMX983079 OWT983079 PGP983079 PQL983079 QAH983079 QKD983079 QTZ983079 RDV983079 RNR983079 RXN983079 SHJ983079 SRF983079 TBB983079 TKX983079 TUT983079 UEP983079 UOL983079 UYH983079 VID983079 VRZ983079 WBV983079 WLR983079 WVN983079" xr:uid="{00000000-0002-0000-0B00-00004C000000}">
      <formula1>0</formula1>
      <formula2>D39-E39</formula2>
    </dataValidation>
    <dataValidation type="whole" allowBlank="1" showInputMessage="1" showErrorMessage="1" errorTitle="Input error" error="The amount entered should be rounded to the nearest dollar and should not exceed the remaining GEER fund balance (column D minus column E)." sqref="MFV65576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xr:uid="{00000000-0002-0000-0B00-00004D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xr:uid="{00000000-0002-0000-0B00-00004E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xr:uid="{00000000-0002-0000-0B00-00004F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xr:uid="{00000000-0002-0000-0B00-000050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xr:uid="{00000000-0002-0000-0B00-000051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xr:uid="{00000000-0002-0000-0B00-000052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xr:uid="{00000000-0002-0000-0B00-000053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xr:uid="{00000000-0002-0000-0B00-000054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xr:uid="{00000000-0002-0000-0B00-000055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xr:uid="{00000000-0002-0000-0B00-000056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ODB983080 OMX983080 OWT983080 PGP983080 PQL983080 QAH983080 QKD983080 QTZ983080 RDV983080 RNR983080 RXN983080 SHJ983080 SRF983080 TBB983080 TKX983080 TUT983080 UEP983080 UOL983080 UYH983080 VID983080 VRZ983080 WBV983080 WLR983080 WVN983080" xr:uid="{00000000-0002-0000-0B00-000057000000}">
      <formula1>0</formula1>
      <formula2>D40-E40</formula2>
    </dataValidation>
    <dataValidation type="whole" allowBlank="1" showInputMessage="1" showErrorMessage="1" errorTitle="Input error" error="The amount entered should be rounded to the nearest dollar and should not exceed the remaining ESG Fund balance (column D minus column E)." sqref="MFV65577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xr:uid="{00000000-0002-0000-0B00-000058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xr:uid="{00000000-0002-0000-0B00-00005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xr:uid="{00000000-0002-0000-0B00-00005A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xr:uid="{00000000-0002-0000-0B00-00005B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xr:uid="{00000000-0002-0000-0B00-00005C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xr:uid="{00000000-0002-0000-0B00-00005D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xr:uid="{00000000-0002-0000-0B00-00005E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xr:uid="{00000000-0002-0000-0B00-00005F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xr:uid="{00000000-0002-0000-0B00-000060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xr:uid="{00000000-0002-0000-0B00-000061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ODB983081 OMX983081 OWT983081 PGP983081 PQL983081 QAH983081 QKD983081 QTZ983081 RDV983081 RNR983081 RXN983081 SHJ983081 SRF983081 TBB983081 TKX983081 TUT983081 UEP983081 UOL983081 UYH983081 VID983081 VRZ983081 WBV983081 WLR983081 WVN983081" xr:uid="{00000000-0002-0000-0B00-000062000000}">
      <formula1>0</formula1>
      <formula2>D41-E41</formula2>
    </dataValidation>
    <dataValidation type="whole" allowBlank="1" showInputMessage="1" showErrorMessage="1" errorTitle="Input error" error="The amount entered should be rounded to the nearest dollar and should not exceed the remaining ESSER II fund balance (column D minus column E)." sqref="MFV65574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xr:uid="{00000000-0002-0000-0B00-000063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xr:uid="{00000000-0002-0000-0B00-000064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xr:uid="{00000000-0002-0000-0B00-000065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xr:uid="{00000000-0002-0000-0B00-000066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xr:uid="{00000000-0002-0000-0B00-00006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xr:uid="{00000000-0002-0000-0B00-000068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xr:uid="{00000000-0002-0000-0B00-000069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xr:uid="{00000000-0002-0000-0B00-00006A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xr:uid="{00000000-0002-0000-0B00-00006B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xr:uid="{00000000-0002-0000-0B00-00006C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ODB983078 OMX983078 OWT983078 PGP983078 PQL983078 QAH983078 QKD983078 QTZ983078 RDV983078 RNR983078 RXN983078 SHJ983078 SRF983078 TBB983078 TKX983078 TUT983078 UEP983078 UOL983078 UYH983078 VID983078 VRZ983078 WBV983078 WLR983078 WVN983078" xr:uid="{00000000-0002-0000-0B00-00006D000000}">
      <formula1>0</formula1>
      <formula2>D38-E38</formula2>
    </dataValidation>
    <dataValidation type="whole" allowBlank="1" showInputMessage="1" showErrorMessage="1" errorTitle="Input error" error="The amount entered should be rounded to the nearest dollar and should not exceed the remaining ESSER I fund balance (column D minus column E)." sqref="MFV655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xr:uid="{00000000-0002-0000-0B00-00006E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xr:uid="{00000000-0002-0000-0B00-00006F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xr:uid="{00000000-0002-0000-0B00-000070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xr:uid="{00000000-0002-0000-0B00-000071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xr:uid="{00000000-0002-0000-0B00-000072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xr:uid="{00000000-0002-0000-0B00-000073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xr:uid="{00000000-0002-0000-0B00-000074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xr:uid="{00000000-0002-0000-0B00-000075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xr:uid="{00000000-0002-0000-0B00-000076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xr:uid="{00000000-0002-0000-0B00-000077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ODB983077 OMX983077 OWT983077 PGP983077 PQL983077 QAH983077 QKD983077 QTZ983077 RDV983077 RNR983077 RXN983077 SHJ983077 SRF983077 TBB983077 TKX983077 TUT983077 UEP983077 UOL983077 UYH983077 VID983077 VRZ983077 WBV983077 WLR983077 WVN983077" xr:uid="{00000000-0002-0000-0B00-000078000000}">
      <formula1>0</formula1>
      <formula2>D37-E37</formula2>
    </dataValidation>
    <dataValidation type="whole" allowBlank="1" showInputMessage="1" showErrorMessage="1" errorTitle="Input error" error="The amount entered should be rounded to the nearest dollar and should not exceed the remaining Other funds balance (column D minus column E)." sqref="MFV65578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xr:uid="{00000000-0002-0000-0B00-000079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xr:uid="{00000000-0002-0000-0B00-00007A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xr:uid="{00000000-0002-0000-0B00-00007B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xr:uid="{00000000-0002-0000-0B00-00007C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xr:uid="{00000000-0002-0000-0B00-00007D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xr:uid="{00000000-0002-0000-0B00-00007E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xr:uid="{00000000-0002-0000-0B00-00007F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xr:uid="{00000000-0002-0000-0B00-000080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xr:uid="{00000000-0002-0000-0B00-000081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xr:uid="{00000000-0002-0000-0B00-000082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ODB983082 OMX983082 OWT983082 PGP983082 PQL983082 QAH983082 QKD983082 QTZ983082 RDV983082 RNR983082 RXN983082 SHJ983082 SRF983082 TBB983082 TKX983082 TUT983082 UEP983082 UOL983082 UYH983082 VID983082 VRZ983082 WBV983082 WLR983082 WVN983082" xr:uid="{00000000-0002-0000-0B00-000083000000}">
      <formula1>0</formula1>
      <formula2>D42-E42</formula2>
    </dataValidation>
    <dataValidation type="whole" operator="greaterThanOrEqual" allowBlank="1" showInputMessage="1" showErrorMessage="1" errorTitle="Input error" error="The amount entered should be rounded to the nearest dollar and be greater than or equal to zero."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SRJ983062 TBF983062 TLB983062 TUX983062 UET983062 UOP983062 UYL983062 VIH983062 VSD983062 WBZ983062 WLV983062 WVR983062 L10:L18 JH10:JH18 TD10:TD18 ACZ10:ACZ18 AMV10:AMV18 AWR10:AWR18 BGN10:BGN18 BQJ10:BQJ18 CAF10:CAF18 CKB10:CKB18 CTX10:CTX18 DDT10:DDT18 DNP10:DNP18 DXL10:DXL18 EHH10:EHH18 ERD10:ERD18 FAZ10:FAZ18 FKV10:FKV18 FUR10:FUR18 GEN10:GEN18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J22 JF22 TB22 ACX22 AMT22 AWP22 BGL22 BQH22 CAD22 CJZ22 CTV22 DDR22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PQP22 QAL22 QKH22 QUD22 RDZ22 RNV22 RXR22 SHN22 SRJ22 TBF22 TLB22 TUX22 UET22 UOP22 UYL22 VIH22 VSD22 WBZ22 WLV22 WVR22 J65558 JF65558 TB65558 ACX65558 AMT65558 AWP65558 BGL65558 BQH65558 CAD65558 CJZ65558 CTV65558 DDR65558 DNN65558 DXJ65558 EHF65558 ERB65558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DNN22 DXJ22 EHF22 ERB22 FAX22 FKT22 FUP22 GEL22 GOH22 GYD22 HHZ22 HRV22 IBR22 ILN22 IVJ22 JFF22 JPB22 JYX22 KIT22 KSP22 LCL22 LMH22 LWD22 MFZ22 MPV22 MZR22 NJN22 NTJ22 ODF22 ONB22 OWX22 PGT22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D26:D28 IZ26:IZ28 SV26:SV28 ACR26:ACR28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UET983072 UOP983072 UYL983072 VIH983072 VSD983072 WBZ983072 WLV983072 WVR983072 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SRJ32 TBF32 TLB32 TUX32 UET32 UOP32 UYL32 VIH32 VSD32 WBZ32 WLV32 WVR32 J65568 JF65568 TB65568 ACX65568 AMT65568 AWP65568 BGL65568 BQH65568 CAD65568 CJZ65568 CTV65568 DDR65568 DNN65568 DXJ65568 EHF65568 ERB65568 FAX65568 FKT65568 FUP65568 GEL65568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FAX32 FKT32 FUP32 GEL32 GOH32 GYD32 HHZ32 HRV32 IBR32 ILN32 IVJ32 JFF32 JPB32 JYX32 KIT32 KSP32 LCL32 LMH32 LWD32 MFZ32 MPV32 MZR32 NJN32 NTJ32 ODF32 ONB32 OWX32 PGT32 PQP32 QAL32 QKH32 QUD32 RDZ32 RNV32 RXR32 SHN32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J32 JF32 TB32 ACX32 AMT32 AWP32 BGL32 BQH32 CAD32 CJZ32 CTV32 DDR32 DNN32 DXJ32 EHF32 ERB32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O25:O27 JK25:JK27 TG25:TG27 ADC25:ADC27 AMY25:AMY27 AWU25:AWU27 BGQ25:BGQ27 BQM25:BQM27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BGL262168:BGL262170 BQH262168:BQH262170" xr:uid="{00000000-0002-0000-0B00-000084000000}">
      <formula1>0</formula1>
    </dataValidation>
    <dataValidation type="whole" operator="greaterThanOrEqual"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TLB917527 TUX917527 UET917527 UOP917527 UYL917527 VIH917527 VSD917527 WBZ917527 WLV917527 WVR917527 J983063 JF983063 TB983063 ACX983063 AMT983063 AWP983063 BGL983063 BQH983063 CAD983063 CJZ983063 CTV983063 DDR983063 DNN983063 DXJ983063 EHF983063 FUP851991 GEL851991 GOH851991 GYD851991 HHZ851991 HRV851991 IBR851991 ILN851991 IVJ851991 JFF851991 JPB851991 JYX851991 KIT851991 KSP851991 LCL851991 LMH851991 LWD851991 MFZ851991 MPV851991 MZR851991 NJN851991 NTJ851991 ODF851991 ONB851991 OWX851991 ODF983063 ONB983063 OWX983063 PGT983063 PQP983063 QAL983063 QKH983063 QUD983063 RDZ983063 RNV983063 RXR983063 SHN983063 SRJ983063 TBF983063 TLB983063 TUX983063 UET983063 UOP983063 UYL983063 VIH983063 VSD983063 WBZ983063 WLV983063 WVR983063 N36:N39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QKH720919 QUD720919 RDZ720919 RNV720919 RXR720919 SHN720919 SRJ720919 TBF720919 TLB720919 TUX720919 UET720919 UOP720919 UYL720919 VIH720919 VSD720919 WBZ720919 WLV720919 WVR720919 J786455 JF786455 TB786455 ACX786455 AMT786455 AWP786455 BGL786455 ERB983063 FAX983063 FKT983063 FUP983063 GEL983063 GOH983063 GYD983063 HHZ983063 HRV983063 IBR983063 ILN983063 IVJ983063 JFF983063 JPB983063 JYX983063 KIT983063 KSP983063 LCL983063 LMH983063 LWD983063 MFZ983063 MPV983063 MZR983063 NJN983063 NTJ983063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CTV655383 DDR655383 DNN655383 DXJ655383 EHF655383 ERB655383 FAX655383 FKT655383 FUP655383 GEL655383 GOH655383 GYD655383 HHZ655383 HRV655383 IBR655383 ILN655383 IVJ655383 JFF655383 JPB655383 JYX655383 KIT655383 KSP655383 LCL655383 LMH655383 LWD655383 PGT851991 PQP851991 QAL851991 QKH851991 QUD851991 RDZ851991 RNV851991 RXR851991 SHN851991 SRJ851991 TBF851991 TLB851991 TUX851991 UET851991 UOP851991 UYL851991 VIH851991 VSD851991 WBZ851991 WLV851991 WVR851991 J917527 JF917527 TB917527 ACX917527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NJN524311 NTJ524311 ODF524311 ONB524311 OWX524311 PGT524311 PQP524311 QAL524311 QKH524311 QUD524311 RDZ524311 RNV524311 RXR524311 SHN524311 SRJ524311 TBF524311 TLB524311 TUX524311 UET524311 UOP524311 UYL524311 VIH524311 VSD524311 WBZ524311 WLV524311 BQH786455 CAD786455 CJZ786455 CTV786455 DDR786455 DNN786455 DXJ786455 EHF786455 ERB786455 FAX786455 FKT786455 FUP786455 GEL786455 GOH786455 GYD786455 HHZ786455 HRV786455 IBR786455 ILN786455 IVJ786455 JFF786455 JPB786455 JYX786455 KIT786455 KSP786455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TB458775 ACX458775 AMT458775 AWP458775 BGL458775 BQH458775 CAD458775 CJZ458775 CTV458775 DDR458775 DNN458775 DXJ458775 EHF458775 ERB458775 FAX458775 FKT458775 FUP458775 GEL458775 GOH458775 GYD458775 HHZ458775 HRV458775 IBR458775 ILN458775 IVJ458775 MFZ655383 MPV655383 MZR655383 NJN655383 NTJ655383 ODF655383 ONB655383 OWX655383 PGT655383 PQP655383 QAL655383 QKH655383 QUD655383 RDZ655383 RNV655383 RXR655383 SHN655383 SRJ655383 TBF655383 TLB655383 TUX655383 UET655383 UOP655383 UYL655383 VIH655383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KIT327703 KSP327703 LCL327703 LMH327703 LWD327703 MFZ327703 MPV327703 MZR327703 NJN327703 NTJ327703 ODF327703 ONB327703 OWX327703 PGT327703 PQP327703 QAL327703 QKH327703 QUD327703 RDZ327703 RNV327703 RXR327703 SHN327703 SRJ327703 TBF327703 TLB327703 WVR524311 J589847 JF589847 TB589847 ACX589847 AMT589847 AWP589847 BGL589847 BQH589847 CAD589847 CJZ589847 CTV589847 DDR589847 DNN589847 DXJ589847 EHF589847 ERB589847 FAX589847 FKT589847 FUP589847 GEL589847 GOH589847 GYD589847 HHZ589847 HRV589847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UYL196631 VIH196631 VSD196631 WBZ196631 WLV196631 WVR196631 J262167 JF262167 TB262167 ACX262167 AMT262167 AWP262167 BGL262167 BQH262167 CAD262167 CJZ262167 CTV262167 DDR262167 DNN262167 DXJ262167 EHF262167 ERB262167 FAX262167 FKT262167 FUP262167 JFF458775 JPB458775 JYX458775 KIT458775 KSP458775 LCL458775 LMH458775 LWD458775 MFZ458775 MPV458775 MZR458775 NJN458775 NTJ458775 ODF458775 ONB458775 OWX458775 PGT458775 PQP458775 QAL458775 QKH458775 QUD458775 RDZ458775 RNV458775 RXR458775 SHN458775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HHZ131095 HRV131095 IBR131095 ILN131095 IVJ131095 JFF131095 JPB131095 JYX131095 KIT131095 KSP131095 LCL131095 LMH131095 LWD131095 MFZ131095 MPV131095 MZR131095 NJN131095 NTJ131095 ODF131095 ONB131095 OWX131095 PGT131095 PQP131095 QAL131095 QKH131095 TUX327703 UET327703 UOP327703 UYL327703 VIH327703 VSD327703 WBZ327703 WLV327703 WVR327703 J393239 JF393239 TB393239 ACX393239 AMT393239 AWP393239 BGL393239 BQH393239 CAD393239 CJZ393239 CTV393239 DDR393239 DNN393239 DXJ393239 EHF393239 ERB393239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QUD131095 RDZ131095 RNV131095 RXR131095 SHN131095 SRJ131095 TBF131095 TLB131095 TUX131095 UET131095 UOP131095 UYL131095 VIH131095 VSD131095 WBZ131095 WLV131095 WVR131095 J196631 JF196631 TB196631 ACX196631 AMT196631 AWP196631 BGL196631 BQH196631 GEL262167 GOH262167 GYD262167 HHZ262167 HRV262167 IBR262167 ILN262167 IVJ262167 JFF262167 JPB262167 JYX262167 KIT262167 KSP262167 LCL262167 LMH262167 LWD262167 MFZ262167 MPV262167 MZR262167 NJN262167 NTJ262167 ODF262167 ONB262167 OWX262167 PGT262167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xr:uid="{00000000-0002-0000-0B00-0000CC000000}">
      <formula1>0</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WVT98304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UYN917505 VIJ917505 VSF917505 WCB917505 WLX917505 WVT917505 L983041 JH983041 TD983041 ACZ983041 AMV983041 AWR983041 BGN983041 BQJ983041 CAF983041 CKB983041 CTX983041 DDT983041 DNP983041 DXL983041 EHH983041 ERD983041 FAZ983041 HIB851969 HRX851969 IBT851969 ILP851969 IVL851969 JFH851969 JPD851969 JYZ851969 KIV851969 KSR851969 LCN851969 LMJ851969 LWF851969 MGB851969 MPX851969 MZT851969 NJP851969 NTL851969 ODH851969 OND851969 OWZ851969 PGV851969 PQR851969 ODH983041 OND983041 OWZ983041 PGV983041 PQR983041 QAN983041 QKJ983041 QUF983041 REB983041 RNX983041 RXT983041 SHP983041 SRL983041 TBH983041 TLD983041 TUZ983041 UEV983041 UOR983041 UYN983041 VIJ983041 VSF983041 WCB983041 WLX983041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RXT720897 SHP720897 SRL720897 TBH720897 TLD720897 TUZ720897 UEV720897 UOR720897 UYN720897 VIJ720897 VSF720897 WCB720897 WLX720897 WVT720897 L786433 JH786433 TD786433 ACZ786433 AMV786433 AWR786433 BGN786433 BQJ786433 CAF786433 FKV983041 FUR983041 GEN983041 GOJ983041 GYF983041 HIB983041 HRX983041 IBT983041 ILP983041 IVL983041 JFH983041 JPD983041 JYZ983041 KIV983041 KSR983041 LCN983041 LMJ983041 LWF983041 MGB983041 MPX983041 MZT983041 NJP983041 NTL983041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EHH655361 ERD655361 FAZ655361 FKV655361 FUR655361 GEN655361 GOJ655361 GYF655361 HIB655361 HRX655361 IBT655361 ILP655361 IVL655361 JFH655361 JPD655361 JYZ655361 KIV655361 KSR655361 LCN655361 LMJ655361 LWF655361 MGB655361 MPX655361 QAN851969 QKJ851969 QUF851969 REB851969 RNX851969 RXT851969 SHP851969 SRL851969 TBH851969 TLD851969 TUZ851969 UEV851969 UOR851969 UYN851969 VIJ851969 VSF851969 WCB851969 WLX851969 WVT851969 L917505 JH917505 TD917505 ACZ917505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OWZ524289 PGV524289 PQR524289 QAN524289 QKJ524289 QUF524289 REB524289 RNX524289 RXT524289 SHP524289 SRL524289 TBH524289 TLD524289 TUZ524289 UEV524289 UOR524289 UYN524289 VIJ524289 VSF524289 WCB524289 WLX524289 WVT524289 L589825 CKB786433 CTX786433 DDT786433 DNP786433 DXL786433 EHH786433 ERD786433 FAZ786433 FKV786433 FUR786433 GEN786433 GOJ786433 GYF786433 HIB786433 HRX786433 IBT786433 ILP786433 IVL786433 JFH786433 JPD786433 JYZ786433 KIV786433 KSR786433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BGN458753 BQJ458753 CAF458753 CKB458753 CTX458753 DDT458753 DNP458753 DXL458753 EHH458753 ERD458753 FAZ458753 FKV458753 FUR458753 GEN458753 GOJ458753 GYF458753 HIB458753 HRX458753 IBT458753 ILP458753 IVL458753 JFH458753 JPD458753 MZT655361 NJP655361 NTL655361 ODH655361 OND655361 OWZ655361 PGV655361 PQR655361 QAN655361 QKJ655361 QUF655361 REB655361 RNX655361 RXT655361 SHP655361 SRL655361 TBH655361 TLD655361 TUZ655361 UEV655361 UOR655361 UYN655361 VIJ655361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LWF327681 MGB327681 MPX327681 MZT327681 NJP327681 NTL327681 ODH327681 OND327681 OWZ327681 PGV327681 PQR327681 QAN327681 QKJ327681 QUF327681 REB327681 RNX327681 RXT327681 SHP327681 SRL327681 TBH327681 TLD327681 TUZ327681 UEV327681 JH589825 TD589825 ACZ589825 AMV589825 AWR589825 BGN589825 BQJ589825 CAF589825 CKB589825 CTX589825 DDT589825 DNP589825 DXL589825 EHH589825 ERD589825 FAZ589825 FKV589825 FUR589825 GEN589825 GOJ589825 GYF589825 HIB589825 HRX589825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WLX196609 WVT196609 L262145 JH262145 TD262145 ACZ262145 AMV262145 AWR262145 BGN262145 BQJ262145 CAF262145 CKB262145 CTX262145 DDT262145 DNP262145 DXL262145 EHH262145 ERD262145 FAZ262145 FKV262145 FUR262145 GEN262145 GOJ262145 JYZ458753 KIV458753 KSR458753 LCN458753 LMJ458753 LWF458753 MGB458753 MPX458753 MZT458753 NJP458753 NTL458753 ODH458753 OND458753 OWZ458753 PGV458753 PQR458753 QAN458753 QKJ458753 QUF458753 REB458753 RNX458753 RXT458753 SHP458753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IVL131073 JFH131073 JPD131073 JYZ131073 KIV131073 KSR131073 LCN131073 LMJ131073 LWF131073 MGB131073 MPX131073 MZT131073 NJP131073 NTL131073 ODH131073 OND131073 OWZ131073 PGV131073 PQR131073 QAN131073 QKJ131073 QUF131073 REB131073 UOR327681 UYN327681 VIJ327681 VSF327681 WCB327681 WLX327681 WVT327681 L393217 JH393217 TD393217 ACZ393217 AMV393217 AWR393217 BGN393217 BQJ393217 CAF393217 CKB393217 CTX393217 DDT393217 DNP393217 DXL393217 EHH393217 ERD393217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RNX131073 RXT131073 SHP131073 SRL131073 TBH131073 TLD131073 TUZ131073 UEV131073 UOR131073 UYN131073 VIJ131073 VSF131073 WCB131073 WLX131073 WVT131073 L196609 JH196609 TD196609 ACZ196609 AMV196609 AWR196609 BGN196609 BQJ196609 GYF262145 HIB262145 HRX262145 IBT262145 ILP262145 IVL262145 JFH262145 JPD262145 JYZ262145 KIV262145 KSR262145 LCN262145 LMJ262145 LWF262145 MGB262145 MPX262145 MZT262145 NJP262145 NTL262145 ODH262145 OND262145 OWZ262145 PGV262145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xr:uid="{00000000-0002-0000-0B00-0000D7000000}">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 xr:uid="{00000000-0002-0000-0B00-0000E2000000}"/>
    <dataValidation type="whole" allowBlank="1" showInputMessage="1" showErrorMessage="1" errorTitle="Input error" error="The amount entered should be rounded to the nearest dollar and should not exceed the remaining Other funds balance (column D minus columns E and F)." sqref="F42" xr:uid="{00000000-0002-0000-0B00-0000E3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s E and F)." sqref="ODC983082" xr:uid="{00000000-0002-0000-0B00-0000E4000000}">
      <formula1>0</formula1>
      <formula2>D42-E42-#REF!</formula2>
    </dataValidation>
    <dataValidation type="whole" allowBlank="1" showInputMessage="1" showErrorMessage="1" errorTitle="Input error" error="The amount entered should be rounded to the nearest dollar and should not exceed the remaining ESSER I fund balance (column D minus columns E and F)." sqref="F37" xr:uid="{00000000-0002-0000-0B00-0000E5000000}">
      <formula1>0</formula1>
      <formula2>D37-E37-#REF!</formula2>
    </dataValidation>
    <dataValidation type="whole" allowBlank="1" showInputMessage="1" showErrorMessage="1" errorTitle="Input error" error="The amount entered should be rounded to the nearest dollar and should not exceed the remaining ESSER I fund balance (column D minus columns E and F)." sqref="ODC983077" xr:uid="{00000000-0002-0000-0B00-0000E6000000}">
      <formula1>0</formula1>
      <formula2>D37-E37-#REF!</formula2>
    </dataValidation>
    <dataValidation type="whole" allowBlank="1" showInputMessage="1" showErrorMessage="1" errorTitle="Input error" error="The amount entered should be rounded to the nearest dollar and should not exceed the remaining ESSER II fund balance (column D minus columns E and F)." sqref="F38" xr:uid="{00000000-0002-0000-0B00-0000E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DC983078" xr:uid="{00000000-0002-0000-0B00-0000E8000000}">
      <formula1>0</formula1>
      <formula2>D38-E38-#REF!</formula2>
    </dataValidation>
    <dataValidation type="whole" allowBlank="1" showInputMessage="1" showErrorMessage="1" errorTitle="Input error" error="The amount entered should be rounded to the nearest dollar and should not exceed the remaining ESG Fund balance (column D minus columns E and F)." sqref="F41" xr:uid="{00000000-0002-0000-0B00-0000E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s E and F)." sqref="ODC983081" xr:uid="{00000000-0002-0000-0B00-0000EA000000}">
      <formula1>0</formula1>
      <formula2>D41-E41-#REF!</formula2>
    </dataValidation>
    <dataValidation type="whole" allowBlank="1" showInputMessage="1" showErrorMessage="1" errorTitle="Input error" error="The amount entered should be rounded to the nearest dollar and should not exceed the remaining GEER fund balance (column D minus columns E and F)." sqref="F40" xr:uid="{00000000-0002-0000-0B00-0000EB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s E and F)." sqref="ODC983080" xr:uid="{00000000-0002-0000-0B00-0000EC000000}">
      <formula1>0</formula1>
      <formula2>D40-E40-#REF!</formula2>
    </dataValidation>
    <dataValidation type="whole" allowBlank="1" showInputMessage="1" showErrorMessage="1" errorTitle="Input error" error="The amount entered should be rounded to the nearest dollar and should not exceed the remaining ESSER III fund balance (column D minus columns E and F)." sqref="F39" xr:uid="{00000000-0002-0000-0B00-0000ED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DC983079" xr:uid="{00000000-0002-0000-0B00-0000EE000000}">
      <formula1>0</formula1>
      <formula2>D39-E39-#REF!</formula2>
    </dataValidation>
  </dataValidations>
  <hyperlinks>
    <hyperlink ref="A18" location="Page10OtherLine" display="Other" xr:uid="{00000000-0004-0000-0B00-000000000000}"/>
    <hyperlink ref="A21:C21" location="Page10TechDetail" display="Technology related expenses from COVID-19 federal relief projects" xr:uid="{00000000-0004-0000-0B00-000001000000}"/>
    <hyperlink ref="A28" location="Page10TechDetailLine7" display="7. 6641-43 Software reported in library books, textbooks, or instructional aids " xr:uid="{00000000-0004-0000-0B00-000002000000}"/>
    <hyperlink ref="L8:L9" location="Page10PropertyDisbursement" display="Property" xr:uid="{00000000-0004-0000-0B00-000003000000}"/>
    <hyperlink ref="L24" location="Page10PropertyDisbursementDetail" display="Property disbursements from COVID-19 federal relief projects" xr:uid="{00000000-0004-0000-0B00-000004000000}"/>
    <hyperlink ref="G21" location="Page10PropertyDisbursementDetail" display="Property disbursement detail for COVID-19 federal relief projects" xr:uid="{00000000-0004-0000-0B00-000005000000}"/>
    <hyperlink ref="G30" location="Page10DebtServiceDetail" display="Debt service detail for COVID-19 federal relief projects" xr:uid="{00000000-0004-0000-0B00-000006000000}"/>
    <hyperlink ref="A37" location="Page10ProjectsLine1" display="1. Elementary and Secondary School Emergency Relief Funds (ESSER I)" xr:uid="{00000000-0004-0000-0B00-000007000000}"/>
    <hyperlink ref="A38" location="Page10ProjectsLine2" display="2. Elementary and Secondary School Emergency Relief Funds (ESSER II)" xr:uid="{00000000-0004-0000-0B00-000008000000}"/>
    <hyperlink ref="A39" location="Page10ProjectsLine3" display="3. Elementary and Secondary School Emergency Relief Funds (ESSER III)" xr:uid="{00000000-0004-0000-0B00-000009000000}"/>
    <hyperlink ref="A40" location="Page10ProjectsLine4" display="4. Governor’s Emergency Education Relief Funds (GEER) - includes Acceleration Academies Program" xr:uid="{00000000-0004-0000-0B00-00000A000000}"/>
    <hyperlink ref="A41" location="Page10ProjectsLine5" display="5. Coronavirus Relief Fund (CRF)—Enrollment Stability Grant (ESG) Program" xr:uid="{00000000-0004-0000-0B00-00000B000000}"/>
    <hyperlink ref="A42" location="Page10ProjectsLine6" display="6. Other COVID-19 Federal Relief Funds" xr:uid="{00000000-0004-0000-0B00-00000C000000}"/>
    <hyperlink ref="D35:D36" location="Page10TotalAward" display="Page10TotalAward" xr:uid="{00000000-0004-0000-0B00-00000D000000}"/>
    <hyperlink ref="E35:E36" location="Page10FY20to23Exp" display="Page10FY20to23Exp" xr:uid="{00000000-0004-0000-0B00-00000E000000}"/>
    <hyperlink ref="F35:F36" location="Page10FY24Exp" display="Page10FY24Exp" xr:uid="{00000000-0004-0000-0B00-00000F000000}"/>
    <hyperlink ref="G35:G36" location="Page10Remaining" display="Page10Remaining" xr:uid="{00000000-0004-0000-0B00-000010000000}"/>
    <hyperlink ref="J35" location="Page10PPP" display="Paycheck Protection Program" xr:uid="{00000000-0004-0000-0B00-000011000000}"/>
    <hyperlink ref="A35:C36" location="Page10projects" display="COVID-19 federal relief projects" xr:uid="{00000000-0004-0000-0B00-000012000000}"/>
    <hyperlink ref="A3" location="Page10General" display="Instruction" xr:uid="{7D5011D7-A502-4818-B3B3-FDB6D873E343}"/>
  </hyperlinks>
  <pageMargins left="0.7" right="0.7" top="0.75" bottom="0.75" header="0.3" footer="0.3"/>
  <pageSetup paperSize="5" scale="62" orientation="landscape" verticalDpi="598" r:id="rId1"/>
  <headerFooter>
    <oddFooter>&amp;LRev. 8/25 Arizona Department of Education and Auditor General&amp;CFY 2025</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E6D5-AFE3-48F5-B3BF-0A798862096D}">
  <sheetPr>
    <pageSetUpPr fitToPage="1"/>
  </sheetPr>
  <dimension ref="A1:R43"/>
  <sheetViews>
    <sheetView showGridLines="0" topLeftCell="A6" workbookViewId="0">
      <selection sqref="A1:B1"/>
    </sheetView>
  </sheetViews>
  <sheetFormatPr defaultColWidth="9.33203125" defaultRowHeight="12.75" x14ac:dyDescent="0.2"/>
  <cols>
    <col min="1" max="1" width="2.6640625" bestFit="1" customWidth="1"/>
    <col min="2" max="2" width="21.33203125" customWidth="1"/>
    <col min="3" max="3" width="18.1640625" customWidth="1"/>
    <col min="4" max="4" width="18.33203125" customWidth="1"/>
    <col min="5" max="5" width="17.1640625" customWidth="1"/>
    <col min="6" max="7" width="15.83203125" customWidth="1"/>
    <col min="8" max="8" width="3.1640625" customWidth="1"/>
    <col min="9" max="9" width="3.6640625" bestFit="1" customWidth="1"/>
    <col min="10" max="10" width="12.33203125" customWidth="1"/>
    <col min="11" max="11" width="10.83203125" customWidth="1"/>
    <col min="12" max="12" width="11.33203125" customWidth="1"/>
    <col min="13" max="13" width="15.83203125" customWidth="1"/>
    <col min="14" max="14" width="3.6640625" customWidth="1"/>
    <col min="15" max="15" width="15.83203125" customWidth="1"/>
    <col min="16" max="16" width="3.6640625" bestFit="1" customWidth="1"/>
    <col min="17" max="17" width="9.33203125" customWidth="1"/>
  </cols>
  <sheetData>
    <row r="1" spans="1:18" x14ac:dyDescent="0.2">
      <c r="A1" s="791" t="s">
        <v>0</v>
      </c>
      <c r="B1" s="791"/>
      <c r="C1" s="808" t="str">
        <f>'Cover Page'!$D$1</f>
        <v>Pima Rose Academy, Inc.</v>
      </c>
      <c r="D1" s="808"/>
      <c r="G1" s="62" t="s">
        <v>1</v>
      </c>
      <c r="H1" s="62"/>
      <c r="I1" s="808" t="str">
        <f>'Cover Page'!$M$1</f>
        <v>Pima</v>
      </c>
      <c r="J1" s="808"/>
      <c r="K1" s="69"/>
      <c r="M1" s="945" t="s">
        <v>2</v>
      </c>
      <c r="N1" s="945"/>
      <c r="O1" s="2" t="str">
        <f>'Cover Page'!$R$1</f>
        <v>108602000</v>
      </c>
    </row>
    <row r="2" spans="1:18" ht="12.95" customHeight="1" x14ac:dyDescent="0.2">
      <c r="B2" s="657" t="s">
        <v>726</v>
      </c>
    </row>
    <row r="3" spans="1:18" ht="20.25" customHeight="1" x14ac:dyDescent="0.3">
      <c r="A3" s="942" t="s">
        <v>1214</v>
      </c>
      <c r="B3" s="942"/>
      <c r="C3" s="942"/>
      <c r="D3" s="942"/>
      <c r="E3" s="942"/>
      <c r="F3" s="942"/>
      <c r="G3" s="942"/>
      <c r="H3" s="942"/>
      <c r="I3" s="942"/>
      <c r="J3" s="942"/>
      <c r="K3" s="942"/>
      <c r="L3" s="942"/>
      <c r="M3" s="942"/>
      <c r="N3" s="942"/>
      <c r="O3" s="942"/>
      <c r="P3" s="942"/>
    </row>
    <row r="4" spans="1:18" ht="9" customHeight="1" x14ac:dyDescent="0.2">
      <c r="E4" t="s">
        <v>20</v>
      </c>
    </row>
    <row r="5" spans="1:18" x14ac:dyDescent="0.2">
      <c r="B5" s="614" t="s">
        <v>165</v>
      </c>
      <c r="E5" s="581" t="s">
        <v>23</v>
      </c>
      <c r="F5" s="4"/>
      <c r="J5" s="614" t="s">
        <v>89</v>
      </c>
      <c r="O5" s="581" t="s">
        <v>23</v>
      </c>
    </row>
    <row r="6" spans="1:18" x14ac:dyDescent="0.2">
      <c r="A6" s="66" t="s">
        <v>24</v>
      </c>
      <c r="B6" t="s">
        <v>194</v>
      </c>
      <c r="E6" s="105"/>
      <c r="F6" s="567" t="s">
        <v>24</v>
      </c>
      <c r="I6" s="66" t="s">
        <v>36</v>
      </c>
      <c r="J6" t="s">
        <v>1213</v>
      </c>
      <c r="N6" s="66"/>
      <c r="O6" s="105"/>
      <c r="P6" s="91" t="s">
        <v>36</v>
      </c>
    </row>
    <row r="7" spans="1:18" x14ac:dyDescent="0.2">
      <c r="A7" s="66" t="s">
        <v>26</v>
      </c>
      <c r="B7" t="s">
        <v>1212</v>
      </c>
      <c r="E7" s="105"/>
      <c r="F7" s="567" t="s">
        <v>26</v>
      </c>
      <c r="I7" s="66" t="s">
        <v>38</v>
      </c>
      <c r="J7" t="s">
        <v>1211</v>
      </c>
      <c r="N7" s="66"/>
      <c r="O7" s="105"/>
      <c r="P7" s="91" t="s">
        <v>38</v>
      </c>
    </row>
    <row r="8" spans="1:18" x14ac:dyDescent="0.2">
      <c r="A8" s="66" t="s">
        <v>28</v>
      </c>
      <c r="B8" t="s">
        <v>1210</v>
      </c>
      <c r="E8" s="105"/>
      <c r="F8" s="567" t="s">
        <v>28</v>
      </c>
      <c r="I8" s="66" t="s">
        <v>40</v>
      </c>
      <c r="J8" t="s">
        <v>1209</v>
      </c>
      <c r="N8" s="66"/>
      <c r="O8" s="105"/>
      <c r="P8" s="91" t="s">
        <v>40</v>
      </c>
    </row>
    <row r="9" spans="1:18" x14ac:dyDescent="0.2">
      <c r="A9" s="66" t="s">
        <v>31</v>
      </c>
      <c r="B9" t="s">
        <v>1208</v>
      </c>
      <c r="E9" s="88"/>
      <c r="F9" s="567"/>
      <c r="I9" s="66" t="s">
        <v>42</v>
      </c>
      <c r="J9" t="s">
        <v>1207</v>
      </c>
      <c r="N9" s="66"/>
      <c r="O9" s="105"/>
      <c r="P9" s="91" t="s">
        <v>42</v>
      </c>
    </row>
    <row r="10" spans="1:18" x14ac:dyDescent="0.2">
      <c r="A10" s="66"/>
      <c r="B10" t="s">
        <v>1206</v>
      </c>
      <c r="E10" s="636"/>
      <c r="F10" s="567" t="s">
        <v>31</v>
      </c>
      <c r="I10" s="66" t="s">
        <v>44</v>
      </c>
      <c r="J10" t="s">
        <v>1205</v>
      </c>
      <c r="N10" s="66"/>
      <c r="O10" s="105"/>
      <c r="P10" s="91" t="s">
        <v>44</v>
      </c>
      <c r="R10" s="29"/>
    </row>
    <row r="11" spans="1:18" x14ac:dyDescent="0.2">
      <c r="A11" s="66" t="s">
        <v>33</v>
      </c>
      <c r="B11" t="s">
        <v>1204</v>
      </c>
      <c r="E11" s="662"/>
      <c r="F11" s="91" t="s">
        <v>33</v>
      </c>
      <c r="I11" s="66" t="s">
        <v>45</v>
      </c>
      <c r="J11" t="s">
        <v>1203</v>
      </c>
      <c r="N11" s="66"/>
      <c r="O11" s="105"/>
      <c r="P11" s="91" t="s">
        <v>45</v>
      </c>
    </row>
    <row r="12" spans="1:18" ht="13.5" thickBot="1" x14ac:dyDescent="0.25">
      <c r="A12" s="66" t="s">
        <v>35</v>
      </c>
      <c r="B12" t="s">
        <v>1202</v>
      </c>
      <c r="E12" s="633">
        <f>SUM(E6:E11)</f>
        <v>0</v>
      </c>
      <c r="F12" s="91" t="s">
        <v>35</v>
      </c>
      <c r="I12" s="66" t="s">
        <v>47</v>
      </c>
      <c r="J12" t="s">
        <v>1201</v>
      </c>
      <c r="N12" s="66"/>
      <c r="O12" s="105"/>
      <c r="P12" s="91" t="s">
        <v>47</v>
      </c>
    </row>
    <row r="13" spans="1:18" ht="12.75" customHeight="1" thickTop="1" x14ac:dyDescent="0.2">
      <c r="I13" s="66" t="s">
        <v>49</v>
      </c>
      <c r="J13" t="s">
        <v>1200</v>
      </c>
      <c r="N13" s="66"/>
      <c r="O13" s="105"/>
      <c r="P13" s="91" t="s">
        <v>49</v>
      </c>
    </row>
    <row r="14" spans="1:18" x14ac:dyDescent="0.2">
      <c r="A14" s="614"/>
      <c r="B14" s="614" t="s">
        <v>1199</v>
      </c>
      <c r="C14" s="614"/>
      <c r="E14" s="635"/>
      <c r="F14" s="634"/>
      <c r="I14" s="66" t="s">
        <v>51</v>
      </c>
      <c r="J14" t="s">
        <v>1198</v>
      </c>
      <c r="N14" s="66"/>
      <c r="O14" s="105"/>
      <c r="P14" s="91" t="s">
        <v>51</v>
      </c>
    </row>
    <row r="15" spans="1:18" x14ac:dyDescent="0.2">
      <c r="E15" s="634"/>
      <c r="F15" s="634"/>
      <c r="I15" s="66" t="s">
        <v>53</v>
      </c>
      <c r="J15" t="s">
        <v>1197</v>
      </c>
      <c r="N15" s="66"/>
      <c r="O15" s="105"/>
      <c r="P15" s="91" t="s">
        <v>53</v>
      </c>
    </row>
    <row r="16" spans="1:18" ht="12.75" customHeight="1" x14ac:dyDescent="0.2">
      <c r="B16" s="237"/>
      <c r="C16" s="237"/>
      <c r="D16" s="946" t="s">
        <v>1196</v>
      </c>
      <c r="E16" s="948" t="s">
        <v>1195</v>
      </c>
      <c r="F16" s="946" t="s">
        <v>1194</v>
      </c>
      <c r="G16" s="946" t="s">
        <v>1193</v>
      </c>
      <c r="I16" s="66" t="s">
        <v>55</v>
      </c>
      <c r="J16" t="s">
        <v>1192</v>
      </c>
      <c r="N16" s="66"/>
      <c r="O16" s="105"/>
      <c r="P16" s="91" t="s">
        <v>55</v>
      </c>
    </row>
    <row r="17" spans="1:16" x14ac:dyDescent="0.2">
      <c r="A17" s="614"/>
      <c r="B17" s="614" t="s">
        <v>1191</v>
      </c>
      <c r="C17" s="614"/>
      <c r="D17" s="947"/>
      <c r="E17" s="949"/>
      <c r="F17" s="947"/>
      <c r="G17" s="947"/>
      <c r="I17" s="66" t="s">
        <v>57</v>
      </c>
      <c r="J17" t="s">
        <v>1190</v>
      </c>
      <c r="N17" s="66"/>
      <c r="O17" s="105"/>
      <c r="P17" s="91" t="s">
        <v>57</v>
      </c>
    </row>
    <row r="18" spans="1:16" x14ac:dyDescent="0.2">
      <c r="B18" s="631" t="s">
        <v>1189</v>
      </c>
      <c r="D18" s="88"/>
      <c r="E18" s="88"/>
      <c r="F18" s="88"/>
      <c r="G18" s="83"/>
      <c r="I18" s="66" t="s">
        <v>59</v>
      </c>
      <c r="J18" t="s">
        <v>1188</v>
      </c>
      <c r="N18" s="66"/>
      <c r="O18" s="105"/>
      <c r="P18" s="91" t="s">
        <v>59</v>
      </c>
    </row>
    <row r="19" spans="1:16" x14ac:dyDescent="0.2">
      <c r="B19" s="154" t="s">
        <v>1184</v>
      </c>
      <c r="D19" s="630"/>
      <c r="E19" s="630"/>
      <c r="F19" s="630"/>
      <c r="G19" s="630"/>
      <c r="I19" s="66" t="s">
        <v>61</v>
      </c>
      <c r="J19" t="s">
        <v>1187</v>
      </c>
      <c r="N19" s="66"/>
      <c r="O19" s="105"/>
      <c r="P19" s="91" t="s">
        <v>61</v>
      </c>
    </row>
    <row r="20" spans="1:16" ht="12.75" customHeight="1" thickBot="1" x14ac:dyDescent="0.25">
      <c r="B20" s="154" t="s">
        <v>1182</v>
      </c>
      <c r="D20" s="630"/>
      <c r="E20" s="630"/>
      <c r="F20" s="630"/>
      <c r="G20" s="630"/>
      <c r="I20" s="66" t="s">
        <v>63</v>
      </c>
      <c r="J20" t="s">
        <v>1186</v>
      </c>
      <c r="N20" s="66"/>
      <c r="O20" s="633">
        <f>SUM(O6:O19)</f>
        <v>0</v>
      </c>
      <c r="P20" s="91" t="s">
        <v>63</v>
      </c>
    </row>
    <row r="21" spans="1:16" ht="12.75" customHeight="1" thickTop="1" x14ac:dyDescent="0.2">
      <c r="B21" s="154" t="s">
        <v>1181</v>
      </c>
      <c r="D21" s="632"/>
      <c r="E21" s="632"/>
      <c r="F21" s="632"/>
      <c r="G21" s="632"/>
      <c r="N21" s="66"/>
    </row>
    <row r="22" spans="1:16" ht="12.75" customHeight="1" x14ac:dyDescent="0.2">
      <c r="B22" s="631" t="s">
        <v>1185</v>
      </c>
      <c r="D22" s="83"/>
      <c r="E22" s="83"/>
      <c r="F22" s="83"/>
      <c r="G22" s="83"/>
      <c r="I22" t="s">
        <v>20</v>
      </c>
      <c r="M22" s="679" t="s">
        <v>1329</v>
      </c>
      <c r="N22" s="681"/>
      <c r="O22" s="679" t="s">
        <v>1330</v>
      </c>
    </row>
    <row r="23" spans="1:16" ht="12.75" customHeight="1" x14ac:dyDescent="0.2">
      <c r="B23" s="154" t="s">
        <v>1184</v>
      </c>
      <c r="D23" s="630"/>
      <c r="E23" s="630"/>
      <c r="F23" s="630"/>
      <c r="G23" s="630"/>
      <c r="H23" s="627"/>
      <c r="J23" s="614" t="s">
        <v>1183</v>
      </c>
      <c r="K23" s="614"/>
      <c r="L23" s="7" t="s">
        <v>16</v>
      </c>
      <c r="M23" s="27"/>
      <c r="N23" s="7" t="s">
        <v>16</v>
      </c>
      <c r="O23" s="27"/>
    </row>
    <row r="24" spans="1:16" ht="12.75" customHeight="1" x14ac:dyDescent="0.2">
      <c r="B24" s="154" t="s">
        <v>1182</v>
      </c>
      <c r="D24" s="630"/>
      <c r="E24" s="630"/>
      <c r="F24" s="630"/>
      <c r="G24" s="630"/>
      <c r="H24" s="627"/>
      <c r="L24" s="7"/>
      <c r="M24" s="29"/>
      <c r="N24" s="7"/>
      <c r="O24" s="29"/>
    </row>
    <row r="25" spans="1:16" ht="12.75" customHeight="1" x14ac:dyDescent="0.2">
      <c r="B25" s="154" t="s">
        <v>1181</v>
      </c>
      <c r="D25" s="629"/>
      <c r="E25" s="629"/>
      <c r="F25" s="629"/>
      <c r="G25" s="629"/>
      <c r="H25" s="568"/>
      <c r="N25" s="7"/>
      <c r="O25" s="627"/>
    </row>
    <row r="26" spans="1:16" ht="12.75" customHeight="1" x14ac:dyDescent="0.2">
      <c r="B26" s="628"/>
      <c r="H26" s="568"/>
      <c r="N26" s="7"/>
      <c r="O26" s="627"/>
    </row>
    <row r="27" spans="1:16" ht="12.75" customHeight="1" x14ac:dyDescent="0.2">
      <c r="B27" s="154" t="s">
        <v>1180</v>
      </c>
      <c r="H27" s="568"/>
      <c r="N27" s="7"/>
      <c r="O27" s="627"/>
    </row>
    <row r="28" spans="1:16" ht="12.75" customHeight="1" x14ac:dyDescent="0.2">
      <c r="J28" s="614" t="s">
        <v>1179</v>
      </c>
      <c r="K28" s="614"/>
      <c r="L28" s="626"/>
      <c r="M28" s="614"/>
      <c r="N28" s="614"/>
    </row>
    <row r="29" spans="1:16" ht="12.75" customHeight="1" x14ac:dyDescent="0.2">
      <c r="A29" s="614"/>
      <c r="B29" s="614" t="s">
        <v>1178</v>
      </c>
      <c r="C29" s="614"/>
      <c r="D29" s="624" t="s">
        <v>1177</v>
      </c>
      <c r="E29" s="624" t="s">
        <v>1176</v>
      </c>
      <c r="F29" s="625" t="s">
        <v>298</v>
      </c>
      <c r="G29" s="624" t="s">
        <v>1175</v>
      </c>
      <c r="H29" s="606"/>
      <c r="J29" s="623" t="s">
        <v>1174</v>
      </c>
      <c r="K29" s="160"/>
      <c r="L29" s="72"/>
      <c r="M29" s="72"/>
      <c r="N29" s="72"/>
      <c r="O29" s="620"/>
      <c r="P29" s="73"/>
    </row>
    <row r="30" spans="1:16" ht="12.75" customHeight="1" x14ac:dyDescent="0.2">
      <c r="B30" t="s">
        <v>1173</v>
      </c>
      <c r="D30" s="618"/>
      <c r="E30" s="618"/>
      <c r="F30" s="618"/>
      <c r="G30" s="622"/>
      <c r="H30" s="621"/>
      <c r="J30" s="156" t="s">
        <v>1172</v>
      </c>
      <c r="K30" s="154"/>
      <c r="O30" s="620"/>
      <c r="P30" s="78"/>
    </row>
    <row r="31" spans="1:16" ht="12.75" customHeight="1" x14ac:dyDescent="0.2">
      <c r="B31" t="s">
        <v>1171</v>
      </c>
      <c r="D31" s="618"/>
      <c r="E31" s="618"/>
      <c r="F31" s="618"/>
      <c r="G31" s="622"/>
      <c r="H31" s="617"/>
      <c r="J31" s="156" t="s">
        <v>1170</v>
      </c>
      <c r="K31" s="154"/>
      <c r="O31" s="620"/>
      <c r="P31" s="78"/>
    </row>
    <row r="32" spans="1:16" ht="12.75" customHeight="1" x14ac:dyDescent="0.2">
      <c r="B32" t="s">
        <v>1169</v>
      </c>
      <c r="D32" s="618"/>
      <c r="E32" s="618"/>
      <c r="F32" s="618"/>
      <c r="G32" s="622"/>
      <c r="H32" s="617"/>
      <c r="J32" s="156" t="s">
        <v>1168</v>
      </c>
      <c r="K32" s="154"/>
      <c r="O32" s="620"/>
      <c r="P32" s="78"/>
    </row>
    <row r="33" spans="1:16" ht="12.75" customHeight="1" x14ac:dyDescent="0.2">
      <c r="B33" t="s">
        <v>1167</v>
      </c>
      <c r="D33" s="618"/>
      <c r="E33" s="618"/>
      <c r="F33" s="618"/>
      <c r="G33" s="618"/>
      <c r="H33" s="621"/>
      <c r="J33" s="156" t="s">
        <v>1166</v>
      </c>
      <c r="K33" s="154"/>
      <c r="O33" s="620"/>
      <c r="P33" s="78"/>
    </row>
    <row r="34" spans="1:16" ht="12.75" customHeight="1" x14ac:dyDescent="0.2">
      <c r="B34" t="s">
        <v>1165</v>
      </c>
      <c r="D34" s="618"/>
      <c r="E34" s="618"/>
      <c r="F34" s="618"/>
      <c r="G34" s="618"/>
      <c r="H34" s="617"/>
      <c r="J34" s="156" t="s">
        <v>1164</v>
      </c>
      <c r="K34" s="154"/>
      <c r="O34" s="619"/>
      <c r="P34" s="78"/>
    </row>
    <row r="35" spans="1:16" ht="12.75" customHeight="1" thickBot="1" x14ac:dyDescent="0.25">
      <c r="B35" t="s">
        <v>1163</v>
      </c>
      <c r="D35" s="618"/>
      <c r="E35" s="618"/>
      <c r="F35" s="618"/>
      <c r="G35" s="618"/>
      <c r="H35" s="617"/>
      <c r="J35" s="940" t="s">
        <v>1162</v>
      </c>
      <c r="K35" s="941"/>
      <c r="L35" s="941"/>
      <c r="M35" s="941"/>
      <c r="N35" s="616"/>
      <c r="O35" s="615">
        <f>SUM(O29:O34)</f>
        <v>0</v>
      </c>
      <c r="P35" s="78"/>
    </row>
    <row r="36" spans="1:16" ht="12.75" customHeight="1" thickTop="1" x14ac:dyDescent="0.2">
      <c r="J36" s="943" t="s">
        <v>1161</v>
      </c>
      <c r="K36" s="944"/>
      <c r="L36" s="944"/>
      <c r="M36" s="6"/>
      <c r="N36" s="6"/>
      <c r="O36" s="6"/>
      <c r="P36" s="85"/>
    </row>
    <row r="37" spans="1:16" ht="12.75" customHeight="1" x14ac:dyDescent="0.2">
      <c r="A37" s="614"/>
      <c r="B37" s="614" t="s">
        <v>1160</v>
      </c>
      <c r="C37" s="614"/>
    </row>
    <row r="38" spans="1:16" ht="12.75" customHeight="1" x14ac:dyDescent="0.2">
      <c r="B38" t="s">
        <v>1159</v>
      </c>
      <c r="E38" s="612"/>
    </row>
    <row r="39" spans="1:16" ht="12.75" customHeight="1" x14ac:dyDescent="0.2">
      <c r="E39" s="7"/>
      <c r="F39" s="7"/>
      <c r="O39" s="29"/>
    </row>
    <row r="40" spans="1:16" ht="12.75" customHeight="1" x14ac:dyDescent="0.2">
      <c r="A40" s="614"/>
      <c r="B40" s="614" t="s">
        <v>1158</v>
      </c>
      <c r="C40" s="614"/>
      <c r="D40" s="614"/>
      <c r="E40" s="614"/>
      <c r="F40" s="7" t="s">
        <v>16</v>
      </c>
      <c r="G40" s="613"/>
      <c r="I40" s="306"/>
      <c r="N40" s="7"/>
    </row>
    <row r="41" spans="1:16" ht="12.75" customHeight="1" x14ac:dyDescent="0.2">
      <c r="B41" t="s">
        <v>1157</v>
      </c>
      <c r="C41" s="8"/>
      <c r="D41" s="8"/>
      <c r="H41" s="175"/>
    </row>
    <row r="42" spans="1:16" ht="12.75" customHeight="1" x14ac:dyDescent="0.2"/>
    <row r="43" spans="1:16" ht="12.75" customHeight="1" x14ac:dyDescent="0.2">
      <c r="B43" t="s">
        <v>1156</v>
      </c>
    </row>
  </sheetData>
  <sheetProtection sheet="1" formatCells="0" formatColumns="0" formatRows="0"/>
  <mergeCells count="11">
    <mergeCell ref="J35:M35"/>
    <mergeCell ref="A3:P3"/>
    <mergeCell ref="A1:B1"/>
    <mergeCell ref="J36:L36"/>
    <mergeCell ref="I1:J1"/>
    <mergeCell ref="M1:N1"/>
    <mergeCell ref="C1:D1"/>
    <mergeCell ref="D16:D17"/>
    <mergeCell ref="E16:E17"/>
    <mergeCell ref="F16:F17"/>
    <mergeCell ref="G16:G17"/>
  </mergeCells>
  <conditionalFormatting sqref="J35:O35">
    <cfRule type="expression" dxfId="23" priority="1" stopIfTrue="1">
      <formula>$O$10&lt;&gt;$O$35</formula>
    </cfRule>
  </conditionalFormatting>
  <dataValidations count="1">
    <dataValidation operator="equal" allowBlank="1" showInputMessage="1" showErrorMessage="1" prompt="This cell will only accept entries equal to 9 digits. Charter schools must enter their CTD number plus 3 zeros" sqref="O1" xr:uid="{00000000-0002-0000-0000-000000000000}"/>
  </dataValidations>
  <hyperlinks>
    <hyperlink ref="B5" location="REVENUES" display="REVENUES" xr:uid="{9FE5F3C6-38E8-4836-B4D3-ADB1A1B76A37}"/>
    <hyperlink ref="B14:C14" location="SectionA" display="A.  Number of Operating Months" xr:uid="{1002D2A8-1A64-4FA5-8D76-90D94A050FAD}"/>
    <hyperlink ref="B17:C17" location="SectionB" display="B.  Number of Meals Served" xr:uid="{EEE46FEF-D8B9-48B3-9322-12D7CD22C59F}"/>
    <hyperlink ref="B29" location="SectionC" display="C.  Meal Prices" xr:uid="{ED07D071-0BB2-4E80-AC7A-9C22DE21DCE5}"/>
    <hyperlink ref="B37:C37" location="SectionD" display="D.  Special Milk Program" xr:uid="{57F5E729-F18F-49D4-B579-AE0C742856BA}"/>
    <hyperlink ref="B40:E40" location="SectionE" display="E.  State Equalization Assistance expended for Food Service, Function 3100" xr:uid="{19747CDD-FDC6-4ADC-98FA-C629AECE941A}"/>
    <hyperlink ref="D16:D17" location="Breakfasts" display="BREAKFASTS" xr:uid="{C0785B22-B826-47CE-9BC1-0D4F5A4BE837}"/>
    <hyperlink ref="E16:E17" location="LunchesSuppers" display="LUNCHES/ SUPPERS" xr:uid="{40B9F3AC-6CC4-4864-BF0D-58D8C7C0D26E}"/>
    <hyperlink ref="F16:F17" location="ALaCarte" display="A LA CARTE*" xr:uid="{564FC274-9177-4016-85EB-2F21CFDEED69}"/>
    <hyperlink ref="G16:G17" location="Snacks" display="SNACKS" xr:uid="{A37C040B-8A20-4DE8-AB07-6DAA0AF9F285}"/>
    <hyperlink ref="J5" location="EXPENSES" display="EXPENSES" xr:uid="{95BA9320-AF5E-45BE-80BB-264A9788DA3F}"/>
    <hyperlink ref="J23:K23" location="SectionF" display="F.  Cash Balances" xr:uid="{CD53EA32-9EF2-4F34-ABC1-707CF9FA9974}"/>
    <hyperlink ref="J28:N28" location="SectionG" display="G.  Detail of Food Service Management Company Expenses" xr:uid="{EAF89C95-88C8-4A80-92D8-DA9D45367944}"/>
    <hyperlink ref="B2" location="FoodServiceGen" display="Instructions" xr:uid="{6BB77C67-BA6E-4B2D-AC01-D12A5A0BDC9D}"/>
  </hyperlinks>
  <pageMargins left="0.7" right="0.7" top="0.75" bottom="0.75" header="0.3" footer="0.3"/>
  <pageSetup scale="74" orientation="landscape" r:id="rId1"/>
  <headerFooter>
    <oddFooter>&amp;LRev. 8/25 Arizona Department of Education and Auditor General&amp;CFY 2025</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B867-0CC5-4E99-81A6-5A4370B5E74C}">
  <sheetPr>
    <pageSetUpPr fitToPage="1"/>
  </sheetPr>
  <dimension ref="A1:N23"/>
  <sheetViews>
    <sheetView showGridLines="0" topLeftCell="B4" workbookViewId="0">
      <selection activeCell="J5" sqref="J5"/>
    </sheetView>
  </sheetViews>
  <sheetFormatPr defaultColWidth="9.33203125" defaultRowHeight="12.75" x14ac:dyDescent="0.2"/>
  <cols>
    <col min="1" max="1" width="38.1640625" style="415" customWidth="1"/>
    <col min="2" max="3" width="16.33203125" style="415" customWidth="1"/>
    <col min="4" max="4" width="15.1640625" style="415" customWidth="1"/>
    <col min="5" max="5" width="15.6640625" style="415" customWidth="1"/>
    <col min="6" max="6" width="15.1640625" style="415" customWidth="1"/>
    <col min="7" max="7" width="16.33203125" style="415" customWidth="1"/>
    <col min="8" max="8" width="19.33203125" style="415" customWidth="1"/>
    <col min="9" max="10" width="15.6640625" style="415" customWidth="1"/>
    <col min="11" max="11" width="17" style="415" customWidth="1"/>
    <col min="12" max="12" width="8.83203125" style="415" customWidth="1"/>
    <col min="13" max="13" width="5.33203125" style="415" customWidth="1"/>
    <col min="14" max="14" width="12.33203125" style="415" customWidth="1"/>
    <col min="15" max="255" width="8.83203125" style="415" customWidth="1"/>
    <col min="256" max="256" width="32.33203125" style="415" bestFit="1" customWidth="1"/>
    <col min="257" max="257" width="22.1640625" style="415" customWidth="1"/>
    <col min="258" max="258" width="14.33203125" style="415" customWidth="1"/>
    <col min="259" max="259" width="19" style="415" customWidth="1"/>
    <col min="260" max="260" width="8.83203125" style="415" customWidth="1"/>
    <col min="261" max="261" width="11.33203125" style="415" customWidth="1"/>
    <col min="262" max="262" width="8.83203125" style="415" customWidth="1"/>
    <col min="263" max="263" width="6.33203125" style="415" customWidth="1"/>
    <col min="264" max="264" width="14.33203125" style="415" customWidth="1"/>
    <col min="265" max="268" width="8.83203125" style="415" customWidth="1"/>
    <col min="269" max="269" width="17.83203125" style="415" customWidth="1"/>
    <col min="270" max="511" width="8.83203125" style="415" customWidth="1"/>
    <col min="512" max="512" width="32.33203125" style="415" bestFit="1" customWidth="1"/>
    <col min="513" max="513" width="22.1640625" style="415" customWidth="1"/>
    <col min="514" max="514" width="14.33203125" style="415" customWidth="1"/>
    <col min="515" max="515" width="19" style="415" customWidth="1"/>
    <col min="516" max="516" width="8.83203125" style="415" customWidth="1"/>
    <col min="517" max="517" width="11.33203125" style="415" customWidth="1"/>
    <col min="518" max="518" width="8.83203125" style="415" customWidth="1"/>
    <col min="519" max="519" width="6.33203125" style="415" customWidth="1"/>
    <col min="520" max="520" width="14.33203125" style="415" customWidth="1"/>
    <col min="521" max="524" width="8.83203125" style="415" customWidth="1"/>
    <col min="525" max="525" width="17.83203125" style="415" customWidth="1"/>
    <col min="526" max="767" width="8.83203125" style="415" customWidth="1"/>
    <col min="768" max="768" width="32.33203125" style="415" bestFit="1" customWidth="1"/>
    <col min="769" max="769" width="22.1640625" style="415" customWidth="1"/>
    <col min="770" max="770" width="14.33203125" style="415" customWidth="1"/>
    <col min="771" max="771" width="19" style="415" customWidth="1"/>
    <col min="772" max="772" width="8.83203125" style="415" customWidth="1"/>
    <col min="773" max="773" width="11.33203125" style="415" customWidth="1"/>
    <col min="774" max="774" width="8.83203125" style="415" customWidth="1"/>
    <col min="775" max="775" width="6.33203125" style="415" customWidth="1"/>
    <col min="776" max="776" width="14.33203125" style="415" customWidth="1"/>
    <col min="777" max="780" width="8.83203125" style="415" customWidth="1"/>
    <col min="781" max="781" width="17.83203125" style="415" customWidth="1"/>
    <col min="782" max="1023" width="8.83203125" style="415" customWidth="1"/>
    <col min="1024" max="1024" width="32.33203125" style="415" bestFit="1" customWidth="1"/>
    <col min="1025" max="1025" width="22.1640625" style="415" customWidth="1"/>
    <col min="1026" max="1026" width="14.33203125" style="415" customWidth="1"/>
    <col min="1027" max="1027" width="19" style="415" customWidth="1"/>
    <col min="1028" max="1028" width="8.83203125" style="415" customWidth="1"/>
    <col min="1029" max="1029" width="11.33203125" style="415" customWidth="1"/>
    <col min="1030" max="1030" width="8.83203125" style="415" customWidth="1"/>
    <col min="1031" max="1031" width="6.33203125" style="415" customWidth="1"/>
    <col min="1032" max="1032" width="14.33203125" style="415" customWidth="1"/>
    <col min="1033" max="1036" width="8.83203125" style="415" customWidth="1"/>
    <col min="1037" max="1037" width="17.83203125" style="415" customWidth="1"/>
    <col min="1038" max="1279" width="8.83203125" style="415" customWidth="1"/>
    <col min="1280" max="1280" width="32.33203125" style="415" bestFit="1" customWidth="1"/>
    <col min="1281" max="1281" width="22.1640625" style="415" customWidth="1"/>
    <col min="1282" max="1282" width="14.33203125" style="415" customWidth="1"/>
    <col min="1283" max="1283" width="19" style="415" customWidth="1"/>
    <col min="1284" max="1284" width="8.83203125" style="415" customWidth="1"/>
    <col min="1285" max="1285" width="11.33203125" style="415" customWidth="1"/>
    <col min="1286" max="1286" width="8.83203125" style="415" customWidth="1"/>
    <col min="1287" max="1287" width="6.33203125" style="415" customWidth="1"/>
    <col min="1288" max="1288" width="14.33203125" style="415" customWidth="1"/>
    <col min="1289" max="1292" width="8.83203125" style="415" customWidth="1"/>
    <col min="1293" max="1293" width="17.83203125" style="415" customWidth="1"/>
    <col min="1294" max="1535" width="8.83203125" style="415" customWidth="1"/>
    <col min="1536" max="1536" width="32.33203125" style="415" bestFit="1" customWidth="1"/>
    <col min="1537" max="1537" width="22.1640625" style="415" customWidth="1"/>
    <col min="1538" max="1538" width="14.33203125" style="415" customWidth="1"/>
    <col min="1539" max="1539" width="19" style="415" customWidth="1"/>
    <col min="1540" max="1540" width="8.83203125" style="415" customWidth="1"/>
    <col min="1541" max="1541" width="11.33203125" style="415" customWidth="1"/>
    <col min="1542" max="1542" width="8.83203125" style="415" customWidth="1"/>
    <col min="1543" max="1543" width="6.33203125" style="415" customWidth="1"/>
    <col min="1544" max="1544" width="14.33203125" style="415" customWidth="1"/>
    <col min="1545" max="1548" width="8.83203125" style="415" customWidth="1"/>
    <col min="1549" max="1549" width="17.83203125" style="415" customWidth="1"/>
    <col min="1550" max="1791" width="8.83203125" style="415" customWidth="1"/>
    <col min="1792" max="1792" width="32.33203125" style="415" bestFit="1" customWidth="1"/>
    <col min="1793" max="1793" width="22.1640625" style="415" customWidth="1"/>
    <col min="1794" max="1794" width="14.33203125" style="415" customWidth="1"/>
    <col min="1795" max="1795" width="19" style="415" customWidth="1"/>
    <col min="1796" max="1796" width="8.83203125" style="415" customWidth="1"/>
    <col min="1797" max="1797" width="11.33203125" style="415" customWidth="1"/>
    <col min="1798" max="1798" width="8.83203125" style="415" customWidth="1"/>
    <col min="1799" max="1799" width="6.33203125" style="415" customWidth="1"/>
    <col min="1800" max="1800" width="14.33203125" style="415" customWidth="1"/>
    <col min="1801" max="1804" width="8.83203125" style="415" customWidth="1"/>
    <col min="1805" max="1805" width="17.83203125" style="415" customWidth="1"/>
    <col min="1806" max="2047" width="8.83203125" style="415" customWidth="1"/>
    <col min="2048" max="2048" width="32.33203125" style="415" bestFit="1" customWidth="1"/>
    <col min="2049" max="2049" width="22.1640625" style="415" customWidth="1"/>
    <col min="2050" max="2050" width="14.33203125" style="415" customWidth="1"/>
    <col min="2051" max="2051" width="19" style="415" customWidth="1"/>
    <col min="2052" max="2052" width="8.83203125" style="415" customWidth="1"/>
    <col min="2053" max="2053" width="11.33203125" style="415" customWidth="1"/>
    <col min="2054" max="2054" width="8.83203125" style="415" customWidth="1"/>
    <col min="2055" max="2055" width="6.33203125" style="415" customWidth="1"/>
    <col min="2056" max="2056" width="14.33203125" style="415" customWidth="1"/>
    <col min="2057" max="2060" width="8.83203125" style="415" customWidth="1"/>
    <col min="2061" max="2061" width="17.83203125" style="415" customWidth="1"/>
    <col min="2062" max="2303" width="8.83203125" style="415" customWidth="1"/>
    <col min="2304" max="2304" width="32.33203125" style="415" bestFit="1" customWidth="1"/>
    <col min="2305" max="2305" width="22.1640625" style="415" customWidth="1"/>
    <col min="2306" max="2306" width="14.33203125" style="415" customWidth="1"/>
    <col min="2307" max="2307" width="19" style="415" customWidth="1"/>
    <col min="2308" max="2308" width="8.83203125" style="415" customWidth="1"/>
    <col min="2309" max="2309" width="11.33203125" style="415" customWidth="1"/>
    <col min="2310" max="2310" width="8.83203125" style="415" customWidth="1"/>
    <col min="2311" max="2311" width="6.33203125" style="415" customWidth="1"/>
    <col min="2312" max="2312" width="14.33203125" style="415" customWidth="1"/>
    <col min="2313" max="2316" width="8.83203125" style="415" customWidth="1"/>
    <col min="2317" max="2317" width="17.83203125" style="415" customWidth="1"/>
    <col min="2318" max="2559" width="8.83203125" style="415" customWidth="1"/>
    <col min="2560" max="2560" width="32.33203125" style="415" bestFit="1" customWidth="1"/>
    <col min="2561" max="2561" width="22.1640625" style="415" customWidth="1"/>
    <col min="2562" max="2562" width="14.33203125" style="415" customWidth="1"/>
    <col min="2563" max="2563" width="19" style="415" customWidth="1"/>
    <col min="2564" max="2564" width="8.83203125" style="415" customWidth="1"/>
    <col min="2565" max="2565" width="11.33203125" style="415" customWidth="1"/>
    <col min="2566" max="2566" width="8.83203125" style="415" customWidth="1"/>
    <col min="2567" max="2567" width="6.33203125" style="415" customWidth="1"/>
    <col min="2568" max="2568" width="14.33203125" style="415" customWidth="1"/>
    <col min="2569" max="2572" width="8.83203125" style="415" customWidth="1"/>
    <col min="2573" max="2573" width="17.83203125" style="415" customWidth="1"/>
    <col min="2574" max="2815" width="8.83203125" style="415" customWidth="1"/>
    <col min="2816" max="2816" width="32.33203125" style="415" bestFit="1" customWidth="1"/>
    <col min="2817" max="2817" width="22.1640625" style="415" customWidth="1"/>
    <col min="2818" max="2818" width="14.33203125" style="415" customWidth="1"/>
    <col min="2819" max="2819" width="19" style="415" customWidth="1"/>
    <col min="2820" max="2820" width="8.83203125" style="415" customWidth="1"/>
    <col min="2821" max="2821" width="11.33203125" style="415" customWidth="1"/>
    <col min="2822" max="2822" width="8.83203125" style="415" customWidth="1"/>
    <col min="2823" max="2823" width="6.33203125" style="415" customWidth="1"/>
    <col min="2824" max="2824" width="14.33203125" style="415" customWidth="1"/>
    <col min="2825" max="2828" width="8.83203125" style="415" customWidth="1"/>
    <col min="2829" max="2829" width="17.83203125" style="415" customWidth="1"/>
    <col min="2830" max="3071" width="8.83203125" style="415" customWidth="1"/>
    <col min="3072" max="3072" width="32.33203125" style="415" bestFit="1" customWidth="1"/>
    <col min="3073" max="3073" width="22.1640625" style="415" customWidth="1"/>
    <col min="3074" max="3074" width="14.33203125" style="415" customWidth="1"/>
    <col min="3075" max="3075" width="19" style="415" customWidth="1"/>
    <col min="3076" max="3076" width="8.83203125" style="415" customWidth="1"/>
    <col min="3077" max="3077" width="11.33203125" style="415" customWidth="1"/>
    <col min="3078" max="3078" width="8.83203125" style="415" customWidth="1"/>
    <col min="3079" max="3079" width="6.33203125" style="415" customWidth="1"/>
    <col min="3080" max="3080" width="14.33203125" style="415" customWidth="1"/>
    <col min="3081" max="3084" width="8.83203125" style="415" customWidth="1"/>
    <col min="3085" max="3085" width="17.83203125" style="415" customWidth="1"/>
    <col min="3086" max="3327" width="8.83203125" style="415" customWidth="1"/>
    <col min="3328" max="3328" width="32.33203125" style="415" bestFit="1" customWidth="1"/>
    <col min="3329" max="3329" width="22.1640625" style="415" customWidth="1"/>
    <col min="3330" max="3330" width="14.33203125" style="415" customWidth="1"/>
    <col min="3331" max="3331" width="19" style="415" customWidth="1"/>
    <col min="3332" max="3332" width="8.83203125" style="415" customWidth="1"/>
    <col min="3333" max="3333" width="11.33203125" style="415" customWidth="1"/>
    <col min="3334" max="3334" width="8.83203125" style="415" customWidth="1"/>
    <col min="3335" max="3335" width="6.33203125" style="415" customWidth="1"/>
    <col min="3336" max="3336" width="14.33203125" style="415" customWidth="1"/>
    <col min="3337" max="3340" width="8.83203125" style="415" customWidth="1"/>
    <col min="3341" max="3341" width="17.83203125" style="415" customWidth="1"/>
    <col min="3342" max="3583" width="8.83203125" style="415" customWidth="1"/>
    <col min="3584" max="3584" width="32.33203125" style="415" bestFit="1" customWidth="1"/>
    <col min="3585" max="3585" width="22.1640625" style="415" customWidth="1"/>
    <col min="3586" max="3586" width="14.33203125" style="415" customWidth="1"/>
    <col min="3587" max="3587" width="19" style="415" customWidth="1"/>
    <col min="3588" max="3588" width="8.83203125" style="415" customWidth="1"/>
    <col min="3589" max="3589" width="11.33203125" style="415" customWidth="1"/>
    <col min="3590" max="3590" width="8.83203125" style="415" customWidth="1"/>
    <col min="3591" max="3591" width="6.33203125" style="415" customWidth="1"/>
    <col min="3592" max="3592" width="14.33203125" style="415" customWidth="1"/>
    <col min="3593" max="3596" width="8.83203125" style="415" customWidth="1"/>
    <col min="3597" max="3597" width="17.83203125" style="415" customWidth="1"/>
    <col min="3598" max="3839" width="8.83203125" style="415" customWidth="1"/>
    <col min="3840" max="3840" width="32.33203125" style="415" bestFit="1" customWidth="1"/>
    <col min="3841" max="3841" width="22.1640625" style="415" customWidth="1"/>
    <col min="3842" max="3842" width="14.33203125" style="415" customWidth="1"/>
    <col min="3843" max="3843" width="19" style="415" customWidth="1"/>
    <col min="3844" max="3844" width="8.83203125" style="415" customWidth="1"/>
    <col min="3845" max="3845" width="11.33203125" style="415" customWidth="1"/>
    <col min="3846" max="3846" width="8.83203125" style="415" customWidth="1"/>
    <col min="3847" max="3847" width="6.33203125" style="415" customWidth="1"/>
    <col min="3848" max="3848" width="14.33203125" style="415" customWidth="1"/>
    <col min="3849" max="3852" width="8.83203125" style="415" customWidth="1"/>
    <col min="3853" max="3853" width="17.83203125" style="415" customWidth="1"/>
    <col min="3854" max="4095" width="8.83203125" style="415" customWidth="1"/>
    <col min="4096" max="4096" width="32.33203125" style="415" bestFit="1" customWidth="1"/>
    <col min="4097" max="4097" width="22.1640625" style="415" customWidth="1"/>
    <col min="4098" max="4098" width="14.33203125" style="415" customWidth="1"/>
    <col min="4099" max="4099" width="19" style="415" customWidth="1"/>
    <col min="4100" max="4100" width="8.83203125" style="415" customWidth="1"/>
    <col min="4101" max="4101" width="11.33203125" style="415" customWidth="1"/>
    <col min="4102" max="4102" width="8.83203125" style="415" customWidth="1"/>
    <col min="4103" max="4103" width="6.33203125" style="415" customWidth="1"/>
    <col min="4104" max="4104" width="14.33203125" style="415" customWidth="1"/>
    <col min="4105" max="4108" width="8.83203125" style="415" customWidth="1"/>
    <col min="4109" max="4109" width="17.83203125" style="415" customWidth="1"/>
    <col min="4110" max="4351" width="8.83203125" style="415" customWidth="1"/>
    <col min="4352" max="4352" width="32.33203125" style="415" bestFit="1" customWidth="1"/>
    <col min="4353" max="4353" width="22.1640625" style="415" customWidth="1"/>
    <col min="4354" max="4354" width="14.33203125" style="415" customWidth="1"/>
    <col min="4355" max="4355" width="19" style="415" customWidth="1"/>
    <col min="4356" max="4356" width="8.83203125" style="415" customWidth="1"/>
    <col min="4357" max="4357" width="11.33203125" style="415" customWidth="1"/>
    <col min="4358" max="4358" width="8.83203125" style="415" customWidth="1"/>
    <col min="4359" max="4359" width="6.33203125" style="415" customWidth="1"/>
    <col min="4360" max="4360" width="14.33203125" style="415" customWidth="1"/>
    <col min="4361" max="4364" width="8.83203125" style="415" customWidth="1"/>
    <col min="4365" max="4365" width="17.83203125" style="415" customWidth="1"/>
    <col min="4366" max="4607" width="8.83203125" style="415" customWidth="1"/>
    <col min="4608" max="4608" width="32.33203125" style="415" bestFit="1" customWidth="1"/>
    <col min="4609" max="4609" width="22.1640625" style="415" customWidth="1"/>
    <col min="4610" max="4610" width="14.33203125" style="415" customWidth="1"/>
    <col min="4611" max="4611" width="19" style="415" customWidth="1"/>
    <col min="4612" max="4612" width="8.83203125" style="415" customWidth="1"/>
    <col min="4613" max="4613" width="11.33203125" style="415" customWidth="1"/>
    <col min="4614" max="4614" width="8.83203125" style="415" customWidth="1"/>
    <col min="4615" max="4615" width="6.33203125" style="415" customWidth="1"/>
    <col min="4616" max="4616" width="14.33203125" style="415" customWidth="1"/>
    <col min="4617" max="4620" width="8.83203125" style="415" customWidth="1"/>
    <col min="4621" max="4621" width="17.83203125" style="415" customWidth="1"/>
    <col min="4622" max="4863" width="8.83203125" style="415" customWidth="1"/>
    <col min="4864" max="4864" width="32.33203125" style="415" bestFit="1" customWidth="1"/>
    <col min="4865" max="4865" width="22.1640625" style="415" customWidth="1"/>
    <col min="4866" max="4866" width="14.33203125" style="415" customWidth="1"/>
    <col min="4867" max="4867" width="19" style="415" customWidth="1"/>
    <col min="4868" max="4868" width="8.83203125" style="415" customWidth="1"/>
    <col min="4869" max="4869" width="11.33203125" style="415" customWidth="1"/>
    <col min="4870" max="4870" width="8.83203125" style="415" customWidth="1"/>
    <col min="4871" max="4871" width="6.33203125" style="415" customWidth="1"/>
    <col min="4872" max="4872" width="14.33203125" style="415" customWidth="1"/>
    <col min="4873" max="4876" width="8.83203125" style="415" customWidth="1"/>
    <col min="4877" max="4877" width="17.83203125" style="415" customWidth="1"/>
    <col min="4878" max="5119" width="8.83203125" style="415" customWidth="1"/>
    <col min="5120" max="5120" width="32.33203125" style="415" bestFit="1" customWidth="1"/>
    <col min="5121" max="5121" width="22.1640625" style="415" customWidth="1"/>
    <col min="5122" max="5122" width="14.33203125" style="415" customWidth="1"/>
    <col min="5123" max="5123" width="19" style="415" customWidth="1"/>
    <col min="5124" max="5124" width="8.83203125" style="415" customWidth="1"/>
    <col min="5125" max="5125" width="11.33203125" style="415" customWidth="1"/>
    <col min="5126" max="5126" width="8.83203125" style="415" customWidth="1"/>
    <col min="5127" max="5127" width="6.33203125" style="415" customWidth="1"/>
    <col min="5128" max="5128" width="14.33203125" style="415" customWidth="1"/>
    <col min="5129" max="5132" width="8.83203125" style="415" customWidth="1"/>
    <col min="5133" max="5133" width="17.83203125" style="415" customWidth="1"/>
    <col min="5134" max="5375" width="8.83203125" style="415" customWidth="1"/>
    <col min="5376" max="5376" width="32.33203125" style="415" bestFit="1" customWidth="1"/>
    <col min="5377" max="5377" width="22.1640625" style="415" customWidth="1"/>
    <col min="5378" max="5378" width="14.33203125" style="415" customWidth="1"/>
    <col min="5379" max="5379" width="19" style="415" customWidth="1"/>
    <col min="5380" max="5380" width="8.83203125" style="415" customWidth="1"/>
    <col min="5381" max="5381" width="11.33203125" style="415" customWidth="1"/>
    <col min="5382" max="5382" width="8.83203125" style="415" customWidth="1"/>
    <col min="5383" max="5383" width="6.33203125" style="415" customWidth="1"/>
    <col min="5384" max="5384" width="14.33203125" style="415" customWidth="1"/>
    <col min="5385" max="5388" width="8.83203125" style="415" customWidth="1"/>
    <col min="5389" max="5389" width="17.83203125" style="415" customWidth="1"/>
    <col min="5390" max="5631" width="8.83203125" style="415" customWidth="1"/>
    <col min="5632" max="5632" width="32.33203125" style="415" bestFit="1" customWidth="1"/>
    <col min="5633" max="5633" width="22.1640625" style="415" customWidth="1"/>
    <col min="5634" max="5634" width="14.33203125" style="415" customWidth="1"/>
    <col min="5635" max="5635" width="19" style="415" customWidth="1"/>
    <col min="5636" max="5636" width="8.83203125" style="415" customWidth="1"/>
    <col min="5637" max="5637" width="11.33203125" style="415" customWidth="1"/>
    <col min="5638" max="5638" width="8.83203125" style="415" customWidth="1"/>
    <col min="5639" max="5639" width="6.33203125" style="415" customWidth="1"/>
    <col min="5640" max="5640" width="14.33203125" style="415" customWidth="1"/>
    <col min="5641" max="5644" width="8.83203125" style="415" customWidth="1"/>
    <col min="5645" max="5645" width="17.83203125" style="415" customWidth="1"/>
    <col min="5646" max="5887" width="8.83203125" style="415" customWidth="1"/>
    <col min="5888" max="5888" width="32.33203125" style="415" bestFit="1" customWidth="1"/>
    <col min="5889" max="5889" width="22.1640625" style="415" customWidth="1"/>
    <col min="5890" max="5890" width="14.33203125" style="415" customWidth="1"/>
    <col min="5891" max="5891" width="19" style="415" customWidth="1"/>
    <col min="5892" max="5892" width="8.83203125" style="415" customWidth="1"/>
    <col min="5893" max="5893" width="11.33203125" style="415" customWidth="1"/>
    <col min="5894" max="5894" width="8.83203125" style="415" customWidth="1"/>
    <col min="5895" max="5895" width="6.33203125" style="415" customWidth="1"/>
    <col min="5896" max="5896" width="14.33203125" style="415" customWidth="1"/>
    <col min="5897" max="5900" width="8.83203125" style="415" customWidth="1"/>
    <col min="5901" max="5901" width="17.83203125" style="415" customWidth="1"/>
    <col min="5902" max="6143" width="8.83203125" style="415" customWidth="1"/>
    <col min="6144" max="6144" width="32.33203125" style="415" bestFit="1" customWidth="1"/>
    <col min="6145" max="6145" width="22.1640625" style="415" customWidth="1"/>
    <col min="6146" max="6146" width="14.33203125" style="415" customWidth="1"/>
    <col min="6147" max="6147" width="19" style="415" customWidth="1"/>
    <col min="6148" max="6148" width="8.83203125" style="415" customWidth="1"/>
    <col min="6149" max="6149" width="11.33203125" style="415" customWidth="1"/>
    <col min="6150" max="6150" width="8.83203125" style="415" customWidth="1"/>
    <col min="6151" max="6151" width="6.33203125" style="415" customWidth="1"/>
    <col min="6152" max="6152" width="14.33203125" style="415" customWidth="1"/>
    <col min="6153" max="6156" width="8.83203125" style="415" customWidth="1"/>
    <col min="6157" max="6157" width="17.83203125" style="415" customWidth="1"/>
    <col min="6158" max="6399" width="8.83203125" style="415" customWidth="1"/>
    <col min="6400" max="6400" width="32.33203125" style="415" bestFit="1" customWidth="1"/>
    <col min="6401" max="6401" width="22.1640625" style="415" customWidth="1"/>
    <col min="6402" max="6402" width="14.33203125" style="415" customWidth="1"/>
    <col min="6403" max="6403" width="19" style="415" customWidth="1"/>
    <col min="6404" max="6404" width="8.83203125" style="415" customWidth="1"/>
    <col min="6405" max="6405" width="11.33203125" style="415" customWidth="1"/>
    <col min="6406" max="6406" width="8.83203125" style="415" customWidth="1"/>
    <col min="6407" max="6407" width="6.33203125" style="415" customWidth="1"/>
    <col min="6408" max="6408" width="14.33203125" style="415" customWidth="1"/>
    <col min="6409" max="6412" width="8.83203125" style="415" customWidth="1"/>
    <col min="6413" max="6413" width="17.83203125" style="415" customWidth="1"/>
    <col min="6414" max="6655" width="8.83203125" style="415" customWidth="1"/>
    <col min="6656" max="6656" width="32.33203125" style="415" bestFit="1" customWidth="1"/>
    <col min="6657" max="6657" width="22.1640625" style="415" customWidth="1"/>
    <col min="6658" max="6658" width="14.33203125" style="415" customWidth="1"/>
    <col min="6659" max="6659" width="19" style="415" customWidth="1"/>
    <col min="6660" max="6660" width="8.83203125" style="415" customWidth="1"/>
    <col min="6661" max="6661" width="11.33203125" style="415" customWidth="1"/>
    <col min="6662" max="6662" width="8.83203125" style="415" customWidth="1"/>
    <col min="6663" max="6663" width="6.33203125" style="415" customWidth="1"/>
    <col min="6664" max="6664" width="14.33203125" style="415" customWidth="1"/>
    <col min="6665" max="6668" width="8.83203125" style="415" customWidth="1"/>
    <col min="6669" max="6669" width="17.83203125" style="415" customWidth="1"/>
    <col min="6670" max="6911" width="8.83203125" style="415" customWidth="1"/>
    <col min="6912" max="6912" width="32.33203125" style="415" bestFit="1" customWidth="1"/>
    <col min="6913" max="6913" width="22.1640625" style="415" customWidth="1"/>
    <col min="6914" max="6914" width="14.33203125" style="415" customWidth="1"/>
    <col min="6915" max="6915" width="19" style="415" customWidth="1"/>
    <col min="6916" max="6916" width="8.83203125" style="415" customWidth="1"/>
    <col min="6917" max="6917" width="11.33203125" style="415" customWidth="1"/>
    <col min="6918" max="6918" width="8.83203125" style="415" customWidth="1"/>
    <col min="6919" max="6919" width="6.33203125" style="415" customWidth="1"/>
    <col min="6920" max="6920" width="14.33203125" style="415" customWidth="1"/>
    <col min="6921" max="6924" width="8.83203125" style="415" customWidth="1"/>
    <col min="6925" max="6925" width="17.83203125" style="415" customWidth="1"/>
    <col min="6926" max="7167" width="8.83203125" style="415" customWidth="1"/>
    <col min="7168" max="7168" width="32.33203125" style="415" bestFit="1" customWidth="1"/>
    <col min="7169" max="7169" width="22.1640625" style="415" customWidth="1"/>
    <col min="7170" max="7170" width="14.33203125" style="415" customWidth="1"/>
    <col min="7171" max="7171" width="19" style="415" customWidth="1"/>
    <col min="7172" max="7172" width="8.83203125" style="415" customWidth="1"/>
    <col min="7173" max="7173" width="11.33203125" style="415" customWidth="1"/>
    <col min="7174" max="7174" width="8.83203125" style="415" customWidth="1"/>
    <col min="7175" max="7175" width="6.33203125" style="415" customWidth="1"/>
    <col min="7176" max="7176" width="14.33203125" style="415" customWidth="1"/>
    <col min="7177" max="7180" width="8.83203125" style="415" customWidth="1"/>
    <col min="7181" max="7181" width="17.83203125" style="415" customWidth="1"/>
    <col min="7182" max="7423" width="8.83203125" style="415" customWidth="1"/>
    <col min="7424" max="7424" width="32.33203125" style="415" bestFit="1" customWidth="1"/>
    <col min="7425" max="7425" width="22.1640625" style="415" customWidth="1"/>
    <col min="7426" max="7426" width="14.33203125" style="415" customWidth="1"/>
    <col min="7427" max="7427" width="19" style="415" customWidth="1"/>
    <col min="7428" max="7428" width="8.83203125" style="415" customWidth="1"/>
    <col min="7429" max="7429" width="11.33203125" style="415" customWidth="1"/>
    <col min="7430" max="7430" width="8.83203125" style="415" customWidth="1"/>
    <col min="7431" max="7431" width="6.33203125" style="415" customWidth="1"/>
    <col min="7432" max="7432" width="14.33203125" style="415" customWidth="1"/>
    <col min="7433" max="7436" width="8.83203125" style="415" customWidth="1"/>
    <col min="7437" max="7437" width="17.83203125" style="415" customWidth="1"/>
    <col min="7438" max="7679" width="8.83203125" style="415" customWidth="1"/>
    <col min="7680" max="7680" width="32.33203125" style="415" bestFit="1" customWidth="1"/>
    <col min="7681" max="7681" width="22.1640625" style="415" customWidth="1"/>
    <col min="7682" max="7682" width="14.33203125" style="415" customWidth="1"/>
    <col min="7683" max="7683" width="19" style="415" customWidth="1"/>
    <col min="7684" max="7684" width="8.83203125" style="415" customWidth="1"/>
    <col min="7685" max="7685" width="11.33203125" style="415" customWidth="1"/>
    <col min="7686" max="7686" width="8.83203125" style="415" customWidth="1"/>
    <col min="7687" max="7687" width="6.33203125" style="415" customWidth="1"/>
    <col min="7688" max="7688" width="14.33203125" style="415" customWidth="1"/>
    <col min="7689" max="7692" width="8.83203125" style="415" customWidth="1"/>
    <col min="7693" max="7693" width="17.83203125" style="415" customWidth="1"/>
    <col min="7694" max="7935" width="8.83203125" style="415" customWidth="1"/>
    <col min="7936" max="7936" width="32.33203125" style="415" bestFit="1" customWidth="1"/>
    <col min="7937" max="7937" width="22.1640625" style="415" customWidth="1"/>
    <col min="7938" max="7938" width="14.33203125" style="415" customWidth="1"/>
    <col min="7939" max="7939" width="19" style="415" customWidth="1"/>
    <col min="7940" max="7940" width="8.83203125" style="415" customWidth="1"/>
    <col min="7941" max="7941" width="11.33203125" style="415" customWidth="1"/>
    <col min="7942" max="7942" width="8.83203125" style="415" customWidth="1"/>
    <col min="7943" max="7943" width="6.33203125" style="415" customWidth="1"/>
    <col min="7944" max="7944" width="14.33203125" style="415" customWidth="1"/>
    <col min="7945" max="7948" width="8.83203125" style="415" customWidth="1"/>
    <col min="7949" max="7949" width="17.83203125" style="415" customWidth="1"/>
    <col min="7950" max="8191" width="8.83203125" style="415" customWidth="1"/>
    <col min="8192" max="8192" width="32.33203125" style="415" bestFit="1" customWidth="1"/>
    <col min="8193" max="8193" width="22.1640625" style="415" customWidth="1"/>
    <col min="8194" max="8194" width="14.33203125" style="415" customWidth="1"/>
    <col min="8195" max="8195" width="19" style="415" customWidth="1"/>
    <col min="8196" max="8196" width="8.83203125" style="415" customWidth="1"/>
    <col min="8197" max="8197" width="11.33203125" style="415" customWidth="1"/>
    <col min="8198" max="8198" width="8.83203125" style="415" customWidth="1"/>
    <col min="8199" max="8199" width="6.33203125" style="415" customWidth="1"/>
    <col min="8200" max="8200" width="14.33203125" style="415" customWidth="1"/>
    <col min="8201" max="8204" width="8.83203125" style="415" customWidth="1"/>
    <col min="8205" max="8205" width="17.83203125" style="415" customWidth="1"/>
    <col min="8206" max="8447" width="8.83203125" style="415" customWidth="1"/>
    <col min="8448" max="8448" width="32.33203125" style="415" bestFit="1" customWidth="1"/>
    <col min="8449" max="8449" width="22.1640625" style="415" customWidth="1"/>
    <col min="8450" max="8450" width="14.33203125" style="415" customWidth="1"/>
    <col min="8451" max="8451" width="19" style="415" customWidth="1"/>
    <col min="8452" max="8452" width="8.83203125" style="415" customWidth="1"/>
    <col min="8453" max="8453" width="11.33203125" style="415" customWidth="1"/>
    <col min="8454" max="8454" width="8.83203125" style="415" customWidth="1"/>
    <col min="8455" max="8455" width="6.33203125" style="415" customWidth="1"/>
    <col min="8456" max="8456" width="14.33203125" style="415" customWidth="1"/>
    <col min="8457" max="8460" width="8.83203125" style="415" customWidth="1"/>
    <col min="8461" max="8461" width="17.83203125" style="415" customWidth="1"/>
    <col min="8462" max="8703" width="8.83203125" style="415" customWidth="1"/>
    <col min="8704" max="8704" width="32.33203125" style="415" bestFit="1" customWidth="1"/>
    <col min="8705" max="8705" width="22.1640625" style="415" customWidth="1"/>
    <col min="8706" max="8706" width="14.33203125" style="415" customWidth="1"/>
    <col min="8707" max="8707" width="19" style="415" customWidth="1"/>
    <col min="8708" max="8708" width="8.83203125" style="415" customWidth="1"/>
    <col min="8709" max="8709" width="11.33203125" style="415" customWidth="1"/>
    <col min="8710" max="8710" width="8.83203125" style="415" customWidth="1"/>
    <col min="8711" max="8711" width="6.33203125" style="415" customWidth="1"/>
    <col min="8712" max="8712" width="14.33203125" style="415" customWidth="1"/>
    <col min="8713" max="8716" width="8.83203125" style="415" customWidth="1"/>
    <col min="8717" max="8717" width="17.83203125" style="415" customWidth="1"/>
    <col min="8718" max="8959" width="8.83203125" style="415" customWidth="1"/>
    <col min="8960" max="8960" width="32.33203125" style="415" bestFit="1" customWidth="1"/>
    <col min="8961" max="8961" width="22.1640625" style="415" customWidth="1"/>
    <col min="8962" max="8962" width="14.33203125" style="415" customWidth="1"/>
    <col min="8963" max="8963" width="19" style="415" customWidth="1"/>
    <col min="8964" max="8964" width="8.83203125" style="415" customWidth="1"/>
    <col min="8965" max="8965" width="11.33203125" style="415" customWidth="1"/>
    <col min="8966" max="8966" width="8.83203125" style="415" customWidth="1"/>
    <col min="8967" max="8967" width="6.33203125" style="415" customWidth="1"/>
    <col min="8968" max="8968" width="14.33203125" style="415" customWidth="1"/>
    <col min="8969" max="8972" width="8.83203125" style="415" customWidth="1"/>
    <col min="8973" max="8973" width="17.83203125" style="415" customWidth="1"/>
    <col min="8974" max="9215" width="8.83203125" style="415" customWidth="1"/>
    <col min="9216" max="9216" width="32.33203125" style="415" bestFit="1" customWidth="1"/>
    <col min="9217" max="9217" width="22.1640625" style="415" customWidth="1"/>
    <col min="9218" max="9218" width="14.33203125" style="415" customWidth="1"/>
    <col min="9219" max="9219" width="19" style="415" customWidth="1"/>
    <col min="9220" max="9220" width="8.83203125" style="415" customWidth="1"/>
    <col min="9221" max="9221" width="11.33203125" style="415" customWidth="1"/>
    <col min="9222" max="9222" width="8.83203125" style="415" customWidth="1"/>
    <col min="9223" max="9223" width="6.33203125" style="415" customWidth="1"/>
    <col min="9224" max="9224" width="14.33203125" style="415" customWidth="1"/>
    <col min="9225" max="9228" width="8.83203125" style="415" customWidth="1"/>
    <col min="9229" max="9229" width="17.83203125" style="415" customWidth="1"/>
    <col min="9230" max="9471" width="8.83203125" style="415" customWidth="1"/>
    <col min="9472" max="9472" width="32.33203125" style="415" bestFit="1" customWidth="1"/>
    <col min="9473" max="9473" width="22.1640625" style="415" customWidth="1"/>
    <col min="9474" max="9474" width="14.33203125" style="415" customWidth="1"/>
    <col min="9475" max="9475" width="19" style="415" customWidth="1"/>
    <col min="9476" max="9476" width="8.83203125" style="415" customWidth="1"/>
    <col min="9477" max="9477" width="11.33203125" style="415" customWidth="1"/>
    <col min="9478" max="9478" width="8.83203125" style="415" customWidth="1"/>
    <col min="9479" max="9479" width="6.33203125" style="415" customWidth="1"/>
    <col min="9480" max="9480" width="14.33203125" style="415" customWidth="1"/>
    <col min="9481" max="9484" width="8.83203125" style="415" customWidth="1"/>
    <col min="9485" max="9485" width="17.83203125" style="415" customWidth="1"/>
    <col min="9486" max="9727" width="8.83203125" style="415" customWidth="1"/>
    <col min="9728" max="9728" width="32.33203125" style="415" bestFit="1" customWidth="1"/>
    <col min="9729" max="9729" width="22.1640625" style="415" customWidth="1"/>
    <col min="9730" max="9730" width="14.33203125" style="415" customWidth="1"/>
    <col min="9731" max="9731" width="19" style="415" customWidth="1"/>
    <col min="9732" max="9732" width="8.83203125" style="415" customWidth="1"/>
    <col min="9733" max="9733" width="11.33203125" style="415" customWidth="1"/>
    <col min="9734" max="9734" width="8.83203125" style="415" customWidth="1"/>
    <col min="9735" max="9735" width="6.33203125" style="415" customWidth="1"/>
    <col min="9736" max="9736" width="14.33203125" style="415" customWidth="1"/>
    <col min="9737" max="9740" width="8.83203125" style="415" customWidth="1"/>
    <col min="9741" max="9741" width="17.83203125" style="415" customWidth="1"/>
    <col min="9742" max="9983" width="8.83203125" style="415" customWidth="1"/>
    <col min="9984" max="9984" width="32.33203125" style="415" bestFit="1" customWidth="1"/>
    <col min="9985" max="9985" width="22.1640625" style="415" customWidth="1"/>
    <col min="9986" max="9986" width="14.33203125" style="415" customWidth="1"/>
    <col min="9987" max="9987" width="19" style="415" customWidth="1"/>
    <col min="9988" max="9988" width="8.83203125" style="415" customWidth="1"/>
    <col min="9989" max="9989" width="11.33203125" style="415" customWidth="1"/>
    <col min="9990" max="9990" width="8.83203125" style="415" customWidth="1"/>
    <col min="9991" max="9991" width="6.33203125" style="415" customWidth="1"/>
    <col min="9992" max="9992" width="14.33203125" style="415" customWidth="1"/>
    <col min="9993" max="9996" width="8.83203125" style="415" customWidth="1"/>
    <col min="9997" max="9997" width="17.83203125" style="415" customWidth="1"/>
    <col min="9998" max="10239" width="8.83203125" style="415" customWidth="1"/>
    <col min="10240" max="10240" width="32.33203125" style="415" bestFit="1" customWidth="1"/>
    <col min="10241" max="10241" width="22.1640625" style="415" customWidth="1"/>
    <col min="10242" max="10242" width="14.33203125" style="415" customWidth="1"/>
    <col min="10243" max="10243" width="19" style="415" customWidth="1"/>
    <col min="10244" max="10244" width="8.83203125" style="415" customWidth="1"/>
    <col min="10245" max="10245" width="11.33203125" style="415" customWidth="1"/>
    <col min="10246" max="10246" width="8.83203125" style="415" customWidth="1"/>
    <col min="10247" max="10247" width="6.33203125" style="415" customWidth="1"/>
    <col min="10248" max="10248" width="14.33203125" style="415" customWidth="1"/>
    <col min="10249" max="10252" width="8.83203125" style="415" customWidth="1"/>
    <col min="10253" max="10253" width="17.83203125" style="415" customWidth="1"/>
    <col min="10254" max="10495" width="8.83203125" style="415" customWidth="1"/>
    <col min="10496" max="10496" width="32.33203125" style="415" bestFit="1" customWidth="1"/>
    <col min="10497" max="10497" width="22.1640625" style="415" customWidth="1"/>
    <col min="10498" max="10498" width="14.33203125" style="415" customWidth="1"/>
    <col min="10499" max="10499" width="19" style="415" customWidth="1"/>
    <col min="10500" max="10500" width="8.83203125" style="415" customWidth="1"/>
    <col min="10501" max="10501" width="11.33203125" style="415" customWidth="1"/>
    <col min="10502" max="10502" width="8.83203125" style="415" customWidth="1"/>
    <col min="10503" max="10503" width="6.33203125" style="415" customWidth="1"/>
    <col min="10504" max="10504" width="14.33203125" style="415" customWidth="1"/>
    <col min="10505" max="10508" width="8.83203125" style="415" customWidth="1"/>
    <col min="10509" max="10509" width="17.83203125" style="415" customWidth="1"/>
    <col min="10510" max="10751" width="8.83203125" style="415" customWidth="1"/>
    <col min="10752" max="10752" width="32.33203125" style="415" bestFit="1" customWidth="1"/>
    <col min="10753" max="10753" width="22.1640625" style="415" customWidth="1"/>
    <col min="10754" max="10754" width="14.33203125" style="415" customWidth="1"/>
    <col min="10755" max="10755" width="19" style="415" customWidth="1"/>
    <col min="10756" max="10756" width="8.83203125" style="415" customWidth="1"/>
    <col min="10757" max="10757" width="11.33203125" style="415" customWidth="1"/>
    <col min="10758" max="10758" width="8.83203125" style="415" customWidth="1"/>
    <col min="10759" max="10759" width="6.33203125" style="415" customWidth="1"/>
    <col min="10760" max="10760" width="14.33203125" style="415" customWidth="1"/>
    <col min="10761" max="10764" width="8.83203125" style="415" customWidth="1"/>
    <col min="10765" max="10765" width="17.83203125" style="415" customWidth="1"/>
    <col min="10766" max="11007" width="8.83203125" style="415" customWidth="1"/>
    <col min="11008" max="11008" width="32.33203125" style="415" bestFit="1" customWidth="1"/>
    <col min="11009" max="11009" width="22.1640625" style="415" customWidth="1"/>
    <col min="11010" max="11010" width="14.33203125" style="415" customWidth="1"/>
    <col min="11011" max="11011" width="19" style="415" customWidth="1"/>
    <col min="11012" max="11012" width="8.83203125" style="415" customWidth="1"/>
    <col min="11013" max="11013" width="11.33203125" style="415" customWidth="1"/>
    <col min="11014" max="11014" width="8.83203125" style="415" customWidth="1"/>
    <col min="11015" max="11015" width="6.33203125" style="415" customWidth="1"/>
    <col min="11016" max="11016" width="14.33203125" style="415" customWidth="1"/>
    <col min="11017" max="11020" width="8.83203125" style="415" customWidth="1"/>
    <col min="11021" max="11021" width="17.83203125" style="415" customWidth="1"/>
    <col min="11022" max="11263" width="8.83203125" style="415" customWidth="1"/>
    <col min="11264" max="11264" width="32.33203125" style="415" bestFit="1" customWidth="1"/>
    <col min="11265" max="11265" width="22.1640625" style="415" customWidth="1"/>
    <col min="11266" max="11266" width="14.33203125" style="415" customWidth="1"/>
    <col min="11267" max="11267" width="19" style="415" customWidth="1"/>
    <col min="11268" max="11268" width="8.83203125" style="415" customWidth="1"/>
    <col min="11269" max="11269" width="11.33203125" style="415" customWidth="1"/>
    <col min="11270" max="11270" width="8.83203125" style="415" customWidth="1"/>
    <col min="11271" max="11271" width="6.33203125" style="415" customWidth="1"/>
    <col min="11272" max="11272" width="14.33203125" style="415" customWidth="1"/>
    <col min="11273" max="11276" width="8.83203125" style="415" customWidth="1"/>
    <col min="11277" max="11277" width="17.83203125" style="415" customWidth="1"/>
    <col min="11278" max="11519" width="8.83203125" style="415" customWidth="1"/>
    <col min="11520" max="11520" width="32.33203125" style="415" bestFit="1" customWidth="1"/>
    <col min="11521" max="11521" width="22.1640625" style="415" customWidth="1"/>
    <col min="11522" max="11522" width="14.33203125" style="415" customWidth="1"/>
    <col min="11523" max="11523" width="19" style="415" customWidth="1"/>
    <col min="11524" max="11524" width="8.83203125" style="415" customWidth="1"/>
    <col min="11525" max="11525" width="11.33203125" style="415" customWidth="1"/>
    <col min="11526" max="11526" width="8.83203125" style="415" customWidth="1"/>
    <col min="11527" max="11527" width="6.33203125" style="415" customWidth="1"/>
    <col min="11528" max="11528" width="14.33203125" style="415" customWidth="1"/>
    <col min="11529" max="11532" width="8.83203125" style="415" customWidth="1"/>
    <col min="11533" max="11533" width="17.83203125" style="415" customWidth="1"/>
    <col min="11534" max="11775" width="8.83203125" style="415" customWidth="1"/>
    <col min="11776" max="11776" width="32.33203125" style="415" bestFit="1" customWidth="1"/>
    <col min="11777" max="11777" width="22.1640625" style="415" customWidth="1"/>
    <col min="11778" max="11778" width="14.33203125" style="415" customWidth="1"/>
    <col min="11779" max="11779" width="19" style="415" customWidth="1"/>
    <col min="11780" max="11780" width="8.83203125" style="415" customWidth="1"/>
    <col min="11781" max="11781" width="11.33203125" style="415" customWidth="1"/>
    <col min="11782" max="11782" width="8.83203125" style="415" customWidth="1"/>
    <col min="11783" max="11783" width="6.33203125" style="415" customWidth="1"/>
    <col min="11784" max="11784" width="14.33203125" style="415" customWidth="1"/>
    <col min="11785" max="11788" width="8.83203125" style="415" customWidth="1"/>
    <col min="11789" max="11789" width="17.83203125" style="415" customWidth="1"/>
    <col min="11790" max="12031" width="8.83203125" style="415" customWidth="1"/>
    <col min="12032" max="12032" width="32.33203125" style="415" bestFit="1" customWidth="1"/>
    <col min="12033" max="12033" width="22.1640625" style="415" customWidth="1"/>
    <col min="12034" max="12034" width="14.33203125" style="415" customWidth="1"/>
    <col min="12035" max="12035" width="19" style="415" customWidth="1"/>
    <col min="12036" max="12036" width="8.83203125" style="415" customWidth="1"/>
    <col min="12037" max="12037" width="11.33203125" style="415" customWidth="1"/>
    <col min="12038" max="12038" width="8.83203125" style="415" customWidth="1"/>
    <col min="12039" max="12039" width="6.33203125" style="415" customWidth="1"/>
    <col min="12040" max="12040" width="14.33203125" style="415" customWidth="1"/>
    <col min="12041" max="12044" width="8.83203125" style="415" customWidth="1"/>
    <col min="12045" max="12045" width="17.83203125" style="415" customWidth="1"/>
    <col min="12046" max="12287" width="8.83203125" style="415" customWidth="1"/>
    <col min="12288" max="12288" width="32.33203125" style="415" bestFit="1" customWidth="1"/>
    <col min="12289" max="12289" width="22.1640625" style="415" customWidth="1"/>
    <col min="12290" max="12290" width="14.33203125" style="415" customWidth="1"/>
    <col min="12291" max="12291" width="19" style="415" customWidth="1"/>
    <col min="12292" max="12292" width="8.83203125" style="415" customWidth="1"/>
    <col min="12293" max="12293" width="11.33203125" style="415" customWidth="1"/>
    <col min="12294" max="12294" width="8.83203125" style="415" customWidth="1"/>
    <col min="12295" max="12295" width="6.33203125" style="415" customWidth="1"/>
    <col min="12296" max="12296" width="14.33203125" style="415" customWidth="1"/>
    <col min="12297" max="12300" width="8.83203125" style="415" customWidth="1"/>
    <col min="12301" max="12301" width="17.83203125" style="415" customWidth="1"/>
    <col min="12302" max="12543" width="8.83203125" style="415" customWidth="1"/>
    <col min="12544" max="12544" width="32.33203125" style="415" bestFit="1" customWidth="1"/>
    <col min="12545" max="12545" width="22.1640625" style="415" customWidth="1"/>
    <col min="12546" max="12546" width="14.33203125" style="415" customWidth="1"/>
    <col min="12547" max="12547" width="19" style="415" customWidth="1"/>
    <col min="12548" max="12548" width="8.83203125" style="415" customWidth="1"/>
    <col min="12549" max="12549" width="11.33203125" style="415" customWidth="1"/>
    <col min="12550" max="12550" width="8.83203125" style="415" customWidth="1"/>
    <col min="12551" max="12551" width="6.33203125" style="415" customWidth="1"/>
    <col min="12552" max="12552" width="14.33203125" style="415" customWidth="1"/>
    <col min="12553" max="12556" width="8.83203125" style="415" customWidth="1"/>
    <col min="12557" max="12557" width="17.83203125" style="415" customWidth="1"/>
    <col min="12558" max="12799" width="8.83203125" style="415" customWidth="1"/>
    <col min="12800" max="12800" width="32.33203125" style="415" bestFit="1" customWidth="1"/>
    <col min="12801" max="12801" width="22.1640625" style="415" customWidth="1"/>
    <col min="12802" max="12802" width="14.33203125" style="415" customWidth="1"/>
    <col min="12803" max="12803" width="19" style="415" customWidth="1"/>
    <col min="12804" max="12804" width="8.83203125" style="415" customWidth="1"/>
    <col min="12805" max="12805" width="11.33203125" style="415" customWidth="1"/>
    <col min="12806" max="12806" width="8.83203125" style="415" customWidth="1"/>
    <col min="12807" max="12807" width="6.33203125" style="415" customWidth="1"/>
    <col min="12808" max="12808" width="14.33203125" style="415" customWidth="1"/>
    <col min="12809" max="12812" width="8.83203125" style="415" customWidth="1"/>
    <col min="12813" max="12813" width="17.83203125" style="415" customWidth="1"/>
    <col min="12814" max="13055" width="8.83203125" style="415" customWidth="1"/>
    <col min="13056" max="13056" width="32.33203125" style="415" bestFit="1" customWidth="1"/>
    <col min="13057" max="13057" width="22.1640625" style="415" customWidth="1"/>
    <col min="13058" max="13058" width="14.33203125" style="415" customWidth="1"/>
    <col min="13059" max="13059" width="19" style="415" customWidth="1"/>
    <col min="13060" max="13060" width="8.83203125" style="415" customWidth="1"/>
    <col min="13061" max="13061" width="11.33203125" style="415" customWidth="1"/>
    <col min="13062" max="13062" width="8.83203125" style="415" customWidth="1"/>
    <col min="13063" max="13063" width="6.33203125" style="415" customWidth="1"/>
    <col min="13064" max="13064" width="14.33203125" style="415" customWidth="1"/>
    <col min="13065" max="13068" width="8.83203125" style="415" customWidth="1"/>
    <col min="13069" max="13069" width="17.83203125" style="415" customWidth="1"/>
    <col min="13070" max="13311" width="8.83203125" style="415" customWidth="1"/>
    <col min="13312" max="13312" width="32.33203125" style="415" bestFit="1" customWidth="1"/>
    <col min="13313" max="13313" width="22.1640625" style="415" customWidth="1"/>
    <col min="13314" max="13314" width="14.33203125" style="415" customWidth="1"/>
    <col min="13315" max="13315" width="19" style="415" customWidth="1"/>
    <col min="13316" max="13316" width="8.83203125" style="415" customWidth="1"/>
    <col min="13317" max="13317" width="11.33203125" style="415" customWidth="1"/>
    <col min="13318" max="13318" width="8.83203125" style="415" customWidth="1"/>
    <col min="13319" max="13319" width="6.33203125" style="415" customWidth="1"/>
    <col min="13320" max="13320" width="14.33203125" style="415" customWidth="1"/>
    <col min="13321" max="13324" width="8.83203125" style="415" customWidth="1"/>
    <col min="13325" max="13325" width="17.83203125" style="415" customWidth="1"/>
    <col min="13326" max="13567" width="8.83203125" style="415" customWidth="1"/>
    <col min="13568" max="13568" width="32.33203125" style="415" bestFit="1" customWidth="1"/>
    <col min="13569" max="13569" width="22.1640625" style="415" customWidth="1"/>
    <col min="13570" max="13570" width="14.33203125" style="415" customWidth="1"/>
    <col min="13571" max="13571" width="19" style="415" customWidth="1"/>
    <col min="13572" max="13572" width="8.83203125" style="415" customWidth="1"/>
    <col min="13573" max="13573" width="11.33203125" style="415" customWidth="1"/>
    <col min="13574" max="13574" width="8.83203125" style="415" customWidth="1"/>
    <col min="13575" max="13575" width="6.33203125" style="415" customWidth="1"/>
    <col min="13576" max="13576" width="14.33203125" style="415" customWidth="1"/>
    <col min="13577" max="13580" width="8.83203125" style="415" customWidth="1"/>
    <col min="13581" max="13581" width="17.83203125" style="415" customWidth="1"/>
    <col min="13582" max="13823" width="8.83203125" style="415" customWidth="1"/>
    <col min="13824" max="13824" width="32.33203125" style="415" bestFit="1" customWidth="1"/>
    <col min="13825" max="13825" width="22.1640625" style="415" customWidth="1"/>
    <col min="13826" max="13826" width="14.33203125" style="415" customWidth="1"/>
    <col min="13827" max="13827" width="19" style="415" customWidth="1"/>
    <col min="13828" max="13828" width="8.83203125" style="415" customWidth="1"/>
    <col min="13829" max="13829" width="11.33203125" style="415" customWidth="1"/>
    <col min="13830" max="13830" width="8.83203125" style="415" customWidth="1"/>
    <col min="13831" max="13831" width="6.33203125" style="415" customWidth="1"/>
    <col min="13832" max="13832" width="14.33203125" style="415" customWidth="1"/>
    <col min="13833" max="13836" width="8.83203125" style="415" customWidth="1"/>
    <col min="13837" max="13837" width="17.83203125" style="415" customWidth="1"/>
    <col min="13838" max="14079" width="8.83203125" style="415" customWidth="1"/>
    <col min="14080" max="14080" width="32.33203125" style="415" bestFit="1" customWidth="1"/>
    <col min="14081" max="14081" width="22.1640625" style="415" customWidth="1"/>
    <col min="14082" max="14082" width="14.33203125" style="415" customWidth="1"/>
    <col min="14083" max="14083" width="19" style="415" customWidth="1"/>
    <col min="14084" max="14084" width="8.83203125" style="415" customWidth="1"/>
    <col min="14085" max="14085" width="11.33203125" style="415" customWidth="1"/>
    <col min="14086" max="14086" width="8.83203125" style="415" customWidth="1"/>
    <col min="14087" max="14087" width="6.33203125" style="415" customWidth="1"/>
    <col min="14088" max="14088" width="14.33203125" style="415" customWidth="1"/>
    <col min="14089" max="14092" width="8.83203125" style="415" customWidth="1"/>
    <col min="14093" max="14093" width="17.83203125" style="415" customWidth="1"/>
    <col min="14094" max="14335" width="8.83203125" style="415" customWidth="1"/>
    <col min="14336" max="14336" width="32.33203125" style="415" bestFit="1" customWidth="1"/>
    <col min="14337" max="14337" width="22.1640625" style="415" customWidth="1"/>
    <col min="14338" max="14338" width="14.33203125" style="415" customWidth="1"/>
    <col min="14339" max="14339" width="19" style="415" customWidth="1"/>
    <col min="14340" max="14340" width="8.83203125" style="415" customWidth="1"/>
    <col min="14341" max="14341" width="11.33203125" style="415" customWidth="1"/>
    <col min="14342" max="14342" width="8.83203125" style="415" customWidth="1"/>
    <col min="14343" max="14343" width="6.33203125" style="415" customWidth="1"/>
    <col min="14344" max="14344" width="14.33203125" style="415" customWidth="1"/>
    <col min="14345" max="14348" width="8.83203125" style="415" customWidth="1"/>
    <col min="14349" max="14349" width="17.83203125" style="415" customWidth="1"/>
    <col min="14350" max="14591" width="8.83203125" style="415" customWidth="1"/>
    <col min="14592" max="14592" width="32.33203125" style="415" bestFit="1" customWidth="1"/>
    <col min="14593" max="14593" width="22.1640625" style="415" customWidth="1"/>
    <col min="14594" max="14594" width="14.33203125" style="415" customWidth="1"/>
    <col min="14595" max="14595" width="19" style="415" customWidth="1"/>
    <col min="14596" max="14596" width="8.83203125" style="415" customWidth="1"/>
    <col min="14597" max="14597" width="11.33203125" style="415" customWidth="1"/>
    <col min="14598" max="14598" width="8.83203125" style="415" customWidth="1"/>
    <col min="14599" max="14599" width="6.33203125" style="415" customWidth="1"/>
    <col min="14600" max="14600" width="14.33203125" style="415" customWidth="1"/>
    <col min="14601" max="14604" width="8.83203125" style="415" customWidth="1"/>
    <col min="14605" max="14605" width="17.83203125" style="415" customWidth="1"/>
    <col min="14606" max="14847" width="8.83203125" style="415" customWidth="1"/>
    <col min="14848" max="14848" width="32.33203125" style="415" bestFit="1" customWidth="1"/>
    <col min="14849" max="14849" width="22.1640625" style="415" customWidth="1"/>
    <col min="14850" max="14850" width="14.33203125" style="415" customWidth="1"/>
    <col min="14851" max="14851" width="19" style="415" customWidth="1"/>
    <col min="14852" max="14852" width="8.83203125" style="415" customWidth="1"/>
    <col min="14853" max="14853" width="11.33203125" style="415" customWidth="1"/>
    <col min="14854" max="14854" width="8.83203125" style="415" customWidth="1"/>
    <col min="14855" max="14855" width="6.33203125" style="415" customWidth="1"/>
    <col min="14856" max="14856" width="14.33203125" style="415" customWidth="1"/>
    <col min="14857" max="14860" width="8.83203125" style="415" customWidth="1"/>
    <col min="14861" max="14861" width="17.83203125" style="415" customWidth="1"/>
    <col min="14862" max="15103" width="8.83203125" style="415" customWidth="1"/>
    <col min="15104" max="15104" width="32.33203125" style="415" bestFit="1" customWidth="1"/>
    <col min="15105" max="15105" width="22.1640625" style="415" customWidth="1"/>
    <col min="15106" max="15106" width="14.33203125" style="415" customWidth="1"/>
    <col min="15107" max="15107" width="19" style="415" customWidth="1"/>
    <col min="15108" max="15108" width="8.83203125" style="415" customWidth="1"/>
    <col min="15109" max="15109" width="11.33203125" style="415" customWidth="1"/>
    <col min="15110" max="15110" width="8.83203125" style="415" customWidth="1"/>
    <col min="15111" max="15111" width="6.33203125" style="415" customWidth="1"/>
    <col min="15112" max="15112" width="14.33203125" style="415" customWidth="1"/>
    <col min="15113" max="15116" width="8.83203125" style="415" customWidth="1"/>
    <col min="15117" max="15117" width="17.83203125" style="415" customWidth="1"/>
    <col min="15118" max="15359" width="8.83203125" style="415" customWidth="1"/>
    <col min="15360" max="15360" width="32.33203125" style="415" bestFit="1" customWidth="1"/>
    <col min="15361" max="15361" width="22.1640625" style="415" customWidth="1"/>
    <col min="15362" max="15362" width="14.33203125" style="415" customWidth="1"/>
    <col min="15363" max="15363" width="19" style="415" customWidth="1"/>
    <col min="15364" max="15364" width="8.83203125" style="415" customWidth="1"/>
    <col min="15365" max="15365" width="11.33203125" style="415" customWidth="1"/>
    <col min="15366" max="15366" width="8.83203125" style="415" customWidth="1"/>
    <col min="15367" max="15367" width="6.33203125" style="415" customWidth="1"/>
    <col min="15368" max="15368" width="14.33203125" style="415" customWidth="1"/>
    <col min="15369" max="15372" width="8.83203125" style="415" customWidth="1"/>
    <col min="15373" max="15373" width="17.83203125" style="415" customWidth="1"/>
    <col min="15374" max="15615" width="8.83203125" style="415" customWidth="1"/>
    <col min="15616" max="15616" width="32.33203125" style="415" bestFit="1" customWidth="1"/>
    <col min="15617" max="15617" width="22.1640625" style="415" customWidth="1"/>
    <col min="15618" max="15618" width="14.33203125" style="415" customWidth="1"/>
    <col min="15619" max="15619" width="19" style="415" customWidth="1"/>
    <col min="15620" max="15620" width="8.83203125" style="415" customWidth="1"/>
    <col min="15621" max="15621" width="11.33203125" style="415" customWidth="1"/>
    <col min="15622" max="15622" width="8.83203125" style="415" customWidth="1"/>
    <col min="15623" max="15623" width="6.33203125" style="415" customWidth="1"/>
    <col min="15624" max="15624" width="14.33203125" style="415" customWidth="1"/>
    <col min="15625" max="15628" width="8.83203125" style="415" customWidth="1"/>
    <col min="15629" max="15629" width="17.83203125" style="415" customWidth="1"/>
    <col min="15630" max="15871" width="8.83203125" style="415" customWidth="1"/>
    <col min="15872" max="15872" width="32.33203125" style="415" bestFit="1" customWidth="1"/>
    <col min="15873" max="15873" width="22.1640625" style="415" customWidth="1"/>
    <col min="15874" max="15874" width="14.33203125" style="415" customWidth="1"/>
    <col min="15875" max="15875" width="19" style="415" customWidth="1"/>
    <col min="15876" max="15876" width="8.83203125" style="415" customWidth="1"/>
    <col min="15877" max="15877" width="11.33203125" style="415" customWidth="1"/>
    <col min="15878" max="15878" width="8.83203125" style="415" customWidth="1"/>
    <col min="15879" max="15879" width="6.33203125" style="415" customWidth="1"/>
    <col min="15880" max="15880" width="14.33203125" style="415" customWidth="1"/>
    <col min="15881" max="15884" width="8.83203125" style="415" customWidth="1"/>
    <col min="15885" max="15885" width="17.83203125" style="415" customWidth="1"/>
    <col min="15886" max="16127" width="8.83203125" style="415" customWidth="1"/>
    <col min="16128" max="16128" width="32.33203125" style="415" bestFit="1" customWidth="1"/>
    <col min="16129" max="16129" width="22.1640625" style="415" customWidth="1"/>
    <col min="16130" max="16130" width="14.33203125" style="415" customWidth="1"/>
    <col min="16131" max="16131" width="19" style="415" customWidth="1"/>
    <col min="16132" max="16132" width="8.83203125" style="415" customWidth="1"/>
    <col min="16133" max="16133" width="11.33203125" style="415" customWidth="1"/>
    <col min="16134" max="16134" width="8.83203125" style="415" customWidth="1"/>
    <col min="16135" max="16135" width="6.33203125" style="415" customWidth="1"/>
    <col min="16136" max="16136" width="14.33203125" style="415" customWidth="1"/>
    <col min="16137" max="16140" width="8.83203125" style="415" customWidth="1"/>
    <col min="16141" max="16141" width="17.83203125" style="415" customWidth="1"/>
    <col min="16142" max="16384" width="8.83203125" style="415" customWidth="1"/>
  </cols>
  <sheetData>
    <row r="1" spans="1:14" x14ac:dyDescent="0.2">
      <c r="A1" s="414" t="s">
        <v>0</v>
      </c>
      <c r="B1" s="953" t="str">
        <f>'Cover Page'!D1</f>
        <v>Pima Rose Academy, Inc.</v>
      </c>
      <c r="C1" s="953"/>
      <c r="E1" s="414" t="s">
        <v>1</v>
      </c>
      <c r="F1" s="586" t="str">
        <f>'Cover Page'!M1</f>
        <v>Pima</v>
      </c>
      <c r="G1" s="416"/>
      <c r="H1" s="414" t="s">
        <v>2</v>
      </c>
      <c r="I1" s="543" t="str">
        <f>'Cover Page'!R1</f>
        <v>108602000</v>
      </c>
      <c r="J1" s="586"/>
      <c r="K1" s="586"/>
    </row>
    <row r="3" spans="1:14" x14ac:dyDescent="0.2">
      <c r="A3" s="658" t="s">
        <v>726</v>
      </c>
    </row>
    <row r="4" spans="1:14" x14ac:dyDescent="0.2">
      <c r="H4" s="417" t="s">
        <v>474</v>
      </c>
      <c r="I4" s="679" t="s">
        <v>1331</v>
      </c>
      <c r="J4" s="679" t="s">
        <v>1332</v>
      </c>
    </row>
    <row r="5" spans="1:14" x14ac:dyDescent="0.2">
      <c r="H5" s="7" t="s">
        <v>475</v>
      </c>
      <c r="I5" s="519">
        <v>475.30700000000002</v>
      </c>
      <c r="J5" s="519">
        <v>441.43650000000002</v>
      </c>
    </row>
    <row r="6" spans="1:14" x14ac:dyDescent="0.2">
      <c r="A6" s="418"/>
      <c r="B6" s="419" t="s">
        <v>476</v>
      </c>
    </row>
    <row r="8" spans="1:14" ht="15" customHeight="1" x14ac:dyDescent="0.2">
      <c r="A8" s="420"/>
      <c r="B8" s="421"/>
      <c r="C8" s="422" t="s">
        <v>477</v>
      </c>
      <c r="D8" s="954" t="s">
        <v>478</v>
      </c>
      <c r="E8" s="423"/>
      <c r="F8" s="424"/>
      <c r="G8" s="950" t="s">
        <v>479</v>
      </c>
      <c r="H8" s="952" t="s">
        <v>480</v>
      </c>
      <c r="I8" s="424"/>
      <c r="J8" s="424"/>
      <c r="K8" s="425"/>
    </row>
    <row r="9" spans="1:14" x14ac:dyDescent="0.2">
      <c r="A9" s="426"/>
      <c r="B9" s="427" t="s">
        <v>184</v>
      </c>
      <c r="C9" s="428" t="s">
        <v>184</v>
      </c>
      <c r="D9" s="955"/>
      <c r="E9" s="429"/>
      <c r="F9" s="430"/>
      <c r="G9" s="951"/>
      <c r="H9" s="951"/>
      <c r="I9" s="430" t="s">
        <v>311</v>
      </c>
      <c r="J9" s="430" t="s">
        <v>481</v>
      </c>
      <c r="K9" s="431" t="s">
        <v>187</v>
      </c>
    </row>
    <row r="10" spans="1:14" x14ac:dyDescent="0.2">
      <c r="A10" s="432" t="s">
        <v>482</v>
      </c>
      <c r="B10" s="433" t="s">
        <v>483</v>
      </c>
      <c r="C10" s="434" t="s">
        <v>483</v>
      </c>
      <c r="D10" s="956"/>
      <c r="E10" s="435" t="s">
        <v>484</v>
      </c>
      <c r="F10" s="436" t="s">
        <v>313</v>
      </c>
      <c r="G10" s="951"/>
      <c r="H10" s="951"/>
      <c r="I10" s="436" t="s">
        <v>315</v>
      </c>
      <c r="J10" s="436" t="s">
        <v>485</v>
      </c>
      <c r="K10" s="437" t="s">
        <v>483</v>
      </c>
      <c r="M10" s="414" t="s">
        <v>486</v>
      </c>
    </row>
    <row r="11" spans="1:14" x14ac:dyDescent="0.2">
      <c r="A11" s="438" t="s">
        <v>487</v>
      </c>
      <c r="B11" s="439"/>
      <c r="C11" s="440"/>
      <c r="D11" s="440"/>
      <c r="E11" s="441"/>
      <c r="F11" s="442"/>
      <c r="G11" s="443">
        <f>'Page 2'!I23</f>
        <v>3088806</v>
      </c>
      <c r="H11" s="444">
        <f>'Page 2'!J23</f>
        <v>3706294</v>
      </c>
      <c r="I11" s="445"/>
      <c r="J11" s="442"/>
      <c r="K11" s="439"/>
      <c r="M11" s="414" t="s">
        <v>1145</v>
      </c>
    </row>
    <row r="12" spans="1:14" x14ac:dyDescent="0.2">
      <c r="A12" s="438" t="s">
        <v>488</v>
      </c>
      <c r="B12" s="439"/>
      <c r="C12" s="439"/>
      <c r="D12" s="439"/>
      <c r="E12" s="446"/>
      <c r="F12" s="442"/>
      <c r="G12" s="443">
        <f>'Page 2'!I37</f>
        <v>203785</v>
      </c>
      <c r="H12" s="447">
        <f>'Page 2'!J37</f>
        <v>159539</v>
      </c>
      <c r="I12" s="445"/>
      <c r="J12" s="442"/>
      <c r="K12" s="439"/>
      <c r="M12" s="448">
        <v>-1</v>
      </c>
      <c r="N12" s="415" t="str">
        <f>"The Charter "&amp;IF('Reserve balance'!F26="Yes","has","does not have")&amp;" an adopted policy establishing a reserve balance for FY 2025."</f>
        <v>The Charter has an adopted policy establishing a reserve balance for FY 2025.</v>
      </c>
    </row>
    <row r="13" spans="1:14" x14ac:dyDescent="0.2">
      <c r="A13" s="438" t="s">
        <v>489</v>
      </c>
      <c r="B13" s="439"/>
      <c r="C13" s="439"/>
      <c r="D13" s="439"/>
      <c r="E13" s="446"/>
      <c r="F13" s="442"/>
      <c r="G13" s="449">
        <f>'Page 2'!I38</f>
        <v>0</v>
      </c>
      <c r="H13" s="447">
        <f>'Page 2'!J38</f>
        <v>0</v>
      </c>
      <c r="I13" s="445"/>
      <c r="J13" s="442"/>
      <c r="K13" s="439"/>
    </row>
    <row r="14" spans="1:14" x14ac:dyDescent="0.2">
      <c r="A14" s="438" t="s">
        <v>490</v>
      </c>
      <c r="B14" s="439"/>
      <c r="C14" s="439"/>
      <c r="D14" s="439"/>
      <c r="E14" s="446"/>
      <c r="F14" s="442"/>
      <c r="G14" s="449">
        <f>'Page 2'!I39</f>
        <v>0</v>
      </c>
      <c r="H14" s="447">
        <f>'Page 2'!J39</f>
        <v>0</v>
      </c>
      <c r="I14" s="445"/>
      <c r="J14" s="442"/>
      <c r="K14" s="439"/>
      <c r="M14" s="448">
        <v>-2</v>
      </c>
      <c r="N14" s="682" t="s">
        <v>1333</v>
      </c>
    </row>
    <row r="15" spans="1:14" x14ac:dyDescent="0.2">
      <c r="A15" s="450" t="s">
        <v>491</v>
      </c>
      <c r="B15" s="451"/>
      <c r="C15" s="451"/>
      <c r="D15" s="451"/>
      <c r="E15" s="452"/>
      <c r="F15" s="442"/>
      <c r="G15" s="453">
        <f>'Page 2'!I40</f>
        <v>0</v>
      </c>
      <c r="H15" s="454">
        <f>'Page 2'!J40</f>
        <v>0</v>
      </c>
      <c r="I15" s="445"/>
      <c r="J15" s="442"/>
      <c r="K15" s="439"/>
      <c r="N15" s="455">
        <f>'Reserve balance'!D39</f>
        <v>732822</v>
      </c>
    </row>
    <row r="16" spans="1:14" x14ac:dyDescent="0.2">
      <c r="A16" s="456" t="s">
        <v>492</v>
      </c>
      <c r="B16" s="451"/>
      <c r="C16" s="439"/>
      <c r="D16" s="439"/>
      <c r="E16" s="446"/>
      <c r="F16" s="457"/>
      <c r="G16" s="458">
        <f>'Page 2'!I41</f>
        <v>0</v>
      </c>
      <c r="H16" s="459">
        <f>'Page 2'!J41</f>
        <v>0</v>
      </c>
      <c r="I16" s="457"/>
      <c r="J16" s="442"/>
      <c r="K16" s="460"/>
    </row>
    <row r="17" spans="1:11" x14ac:dyDescent="0.2">
      <c r="A17" s="461" t="s">
        <v>493</v>
      </c>
      <c r="B17" s="604">
        <f>[2]Summary!$K$17</f>
        <v>2315667</v>
      </c>
      <c r="C17" s="467">
        <v>0</v>
      </c>
      <c r="D17" s="462">
        <f>'Page 1'!H43-SUM(D18:D23)</f>
        <v>4455835</v>
      </c>
      <c r="E17" s="446"/>
      <c r="F17" s="467">
        <v>0</v>
      </c>
      <c r="G17" s="517">
        <v>3292591</v>
      </c>
      <c r="H17" s="518">
        <v>3723013</v>
      </c>
      <c r="I17" s="467">
        <v>0</v>
      </c>
      <c r="J17" s="467">
        <v>0</v>
      </c>
      <c r="K17" s="463">
        <f>IF(C17="",B17,C17)+D17-E17-F17-I17-H17-J17</f>
        <v>732822</v>
      </c>
    </row>
    <row r="18" spans="1:11" x14ac:dyDescent="0.2">
      <c r="A18" s="461" t="s">
        <v>494</v>
      </c>
      <c r="B18" s="462">
        <f>IF('Page 3'!F25="",'Page 3'!F24,'Page 3'!F25)</f>
        <v>50277</v>
      </c>
      <c r="C18" s="439"/>
      <c r="D18" s="463">
        <f>'Page 3'!F28</f>
        <v>495372</v>
      </c>
      <c r="E18" s="446"/>
      <c r="F18" s="467">
        <v>0</v>
      </c>
      <c r="G18" s="464">
        <f>'Page 3'!J13+'Page 3'!F18</f>
        <v>550242</v>
      </c>
      <c r="H18" s="601">
        <f>'Page 3'!G18+'Page 3'!K13</f>
        <v>490534</v>
      </c>
      <c r="I18" s="462">
        <f>'Page 3'!G17</f>
        <v>0</v>
      </c>
      <c r="J18" s="462">
        <f>'Page 3'!G19</f>
        <v>0</v>
      </c>
      <c r="K18" s="463">
        <f t="shared" ref="K18:K23" si="0">B18+D18-E18-F18-I18-H18-J18</f>
        <v>55115</v>
      </c>
    </row>
    <row r="19" spans="1:11" x14ac:dyDescent="0.2">
      <c r="A19" s="461" t="s">
        <v>495</v>
      </c>
      <c r="B19" s="462">
        <f>IF('Page 4'!F16="",'Page 4'!F15,'Page 4'!F16)</f>
        <v>0</v>
      </c>
      <c r="C19" s="439"/>
      <c r="D19" s="463">
        <f>'Page 4'!F17</f>
        <v>33729</v>
      </c>
      <c r="E19" s="446"/>
      <c r="F19" s="467">
        <v>0</v>
      </c>
      <c r="G19" s="516">
        <f>'Page 4'!H11</f>
        <v>18680</v>
      </c>
      <c r="H19" s="463">
        <f>'Page 4'!I11</f>
        <v>33729</v>
      </c>
      <c r="I19" s="445"/>
      <c r="J19" s="445"/>
      <c r="K19" s="463">
        <f t="shared" si="0"/>
        <v>0</v>
      </c>
    </row>
    <row r="20" spans="1:11" x14ac:dyDescent="0.2">
      <c r="A20" s="461" t="s">
        <v>496</v>
      </c>
      <c r="B20" s="462">
        <f>IF('Page 5'!G26="",'Page 5'!F26,'Page 5'!G26)</f>
        <v>0</v>
      </c>
      <c r="C20" s="439"/>
      <c r="D20" s="463">
        <f>'Page 5'!H26</f>
        <v>0</v>
      </c>
      <c r="E20" s="446"/>
      <c r="F20" s="467">
        <v>0</v>
      </c>
      <c r="G20" s="516">
        <f>'Page 5'!N26</f>
        <v>0</v>
      </c>
      <c r="H20" s="463">
        <f>'Page 5'!O26</f>
        <v>0</v>
      </c>
      <c r="I20" s="445"/>
      <c r="J20" s="445"/>
      <c r="K20" s="463">
        <f t="shared" si="0"/>
        <v>0</v>
      </c>
    </row>
    <row r="21" spans="1:11" x14ac:dyDescent="0.2">
      <c r="A21" s="461" t="s">
        <v>497</v>
      </c>
      <c r="B21" s="462">
        <f>IF('Page 5'!G48="",'Page 5'!F48,'Page 5'!G48)</f>
        <v>0</v>
      </c>
      <c r="C21" s="439"/>
      <c r="D21" s="463">
        <f>'Page 5'!H48</f>
        <v>0</v>
      </c>
      <c r="E21" s="446"/>
      <c r="F21" s="467">
        <v>0</v>
      </c>
      <c r="G21" s="516">
        <f>'Page 5'!N48</f>
        <v>0</v>
      </c>
      <c r="H21" s="463">
        <f>'Page 5'!O48</f>
        <v>0</v>
      </c>
      <c r="I21" s="445"/>
      <c r="J21" s="445"/>
      <c r="K21" s="463">
        <f t="shared" si="0"/>
        <v>0</v>
      </c>
    </row>
    <row r="22" spans="1:11" x14ac:dyDescent="0.2">
      <c r="A22" s="461" t="s">
        <v>498</v>
      </c>
      <c r="B22" s="463">
        <f>IF('Page 8'!F23="",'Page 8'!E23,'Page 8'!F23)</f>
        <v>0</v>
      </c>
      <c r="C22" s="439"/>
      <c r="D22" s="463">
        <f>'Page 8'!G23</f>
        <v>38025</v>
      </c>
      <c r="E22" s="542">
        <f>'Page 8'!H23</f>
        <v>0</v>
      </c>
      <c r="F22" s="462">
        <f>'Page 8'!I23</f>
        <v>0</v>
      </c>
      <c r="G22" s="516">
        <f>'Page 8'!J23</f>
        <v>38025</v>
      </c>
      <c r="H22" s="463">
        <f>'Page 8'!K23</f>
        <v>38025</v>
      </c>
      <c r="I22" s="464">
        <f>'Page 8'!M23</f>
        <v>0</v>
      </c>
      <c r="J22" s="462">
        <f>'Page 8'!L23</f>
        <v>0</v>
      </c>
      <c r="K22" s="463">
        <f t="shared" si="0"/>
        <v>0</v>
      </c>
    </row>
    <row r="23" spans="1:11" x14ac:dyDescent="0.2">
      <c r="A23" s="461" t="s">
        <v>499</v>
      </c>
      <c r="B23" s="463">
        <f>IF('Page 8'!F40="",'Page 8'!E40,'Page 8'!F40)</f>
        <v>0</v>
      </c>
      <c r="C23" s="439"/>
      <c r="D23" s="463">
        <f>'Page 8'!G40</f>
        <v>42631</v>
      </c>
      <c r="E23" s="446"/>
      <c r="F23" s="462">
        <f>'Page 8'!I40</f>
        <v>0</v>
      </c>
      <c r="G23" s="466">
        <f>'Page 8'!J40</f>
        <v>10000</v>
      </c>
      <c r="H23" s="465">
        <f>'Page 8'!K40</f>
        <v>42631</v>
      </c>
      <c r="I23" s="462">
        <f>'Page 8'!M40</f>
        <v>0</v>
      </c>
      <c r="J23" s="462">
        <f>'Page 8'!L40</f>
        <v>0</v>
      </c>
      <c r="K23" s="463">
        <f t="shared" si="0"/>
        <v>0</v>
      </c>
    </row>
  </sheetData>
  <sheetProtection sheet="1" objects="1" scenarios="1"/>
  <mergeCells count="4">
    <mergeCell ref="G8:G10"/>
    <mergeCell ref="H8:H10"/>
    <mergeCell ref="B1:C1"/>
    <mergeCell ref="D8:D10"/>
  </mergeCells>
  <conditionalFormatting sqref="B17:C17">
    <cfRule type="containsBlanks" dxfId="22" priority="6">
      <formula>LEN(TRIM(B17))=0</formula>
    </cfRule>
  </conditionalFormatting>
  <conditionalFormatting sqref="F17:F21">
    <cfRule type="containsBlanks" dxfId="21" priority="5">
      <formula>LEN(TRIM(F17))=0</formula>
    </cfRule>
  </conditionalFormatting>
  <conditionalFormatting sqref="G17:J17">
    <cfRule type="containsBlanks" dxfId="20" priority="1">
      <formula>LEN(TRIM(G17))=0</formula>
    </cfRule>
  </conditionalFormatting>
  <conditionalFormatting sqref="I5">
    <cfRule type="containsBlanks" priority="11">
      <formula>LEN(TRIM(I5))=0</formula>
    </cfRule>
  </conditionalFormatting>
  <conditionalFormatting sqref="I5:J5">
    <cfRule type="containsBlanks" dxfId="19" priority="8">
      <formula>LEN(TRIM(I5))=0</formula>
    </cfRule>
  </conditionalFormatting>
  <dataValidations count="1">
    <dataValidation allowBlank="1" showInputMessage="1" showErrorMessage="1" promptTitle="Reversions" prompt="Enter as a positive amount." sqref="F17:F21" xr:uid="{00000000-0002-0000-0C00-000000000000}"/>
  </dataValidations>
  <hyperlinks>
    <hyperlink ref="B9:B10" r:id="rId1" display="Beginning" xr:uid="{00000000-0004-0000-0C00-000000000000}"/>
    <hyperlink ref="B10" location="BegProjectBalances" display="Project Balance" xr:uid="{00000000-0004-0000-0C00-000001000000}"/>
    <hyperlink ref="B9" location="BegProjectBalances" display="Beginning" xr:uid="{00000000-0004-0000-0C00-000002000000}"/>
    <hyperlink ref="C8:C10" location="AdjustedBeginningProjectBalance" display="Adjusted " xr:uid="{00000000-0004-0000-0C00-000003000000}"/>
    <hyperlink ref="H4" location="SumADM" display="Avg. Daily Membership" xr:uid="{00000000-0004-0000-0C00-000004000000}"/>
    <hyperlink ref="A3" location="SumGen" display="Instructions" xr:uid="{548042B0-8837-4214-81D7-D4CB6B7B3237}"/>
  </hyperlinks>
  <pageMargins left="0.7" right="0.7" top="0.75" bottom="0.75" header="0.3" footer="0.3"/>
  <pageSetup paperSize="5" scale="60" orientation="landscape" verticalDpi="598" r:id="rId2"/>
  <headerFooter>
    <oddFooter>&amp;LRev. 8/25 Arizona Department of Education and Auditor General&amp;CFY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7A9E-0716-4938-BAFE-B2FAD027D935}">
  <sheetPr>
    <pageSetUpPr fitToPage="1"/>
  </sheetPr>
  <dimension ref="A1:AA46"/>
  <sheetViews>
    <sheetView showGridLines="0" topLeftCell="A29" workbookViewId="0">
      <selection activeCell="C36" sqref="C36"/>
    </sheetView>
  </sheetViews>
  <sheetFormatPr defaultColWidth="8.83203125" defaultRowHeight="12.75" x14ac:dyDescent="0.2"/>
  <cols>
    <col min="1" max="1" width="4.6640625" customWidth="1"/>
    <col min="2" max="2" width="50.1640625" customWidth="1"/>
    <col min="3" max="3" width="24" customWidth="1"/>
    <col min="4" max="4" width="24.1640625" customWidth="1"/>
    <col min="5" max="5" width="26.6640625" customWidth="1"/>
    <col min="6" max="6" width="25.83203125" customWidth="1"/>
    <col min="7" max="7" width="27.6640625" customWidth="1"/>
    <col min="8" max="8" width="19.33203125" customWidth="1"/>
    <col min="9" max="9" width="11.1640625" customWidth="1"/>
    <col min="10" max="10" width="8.83203125" customWidth="1"/>
  </cols>
  <sheetData>
    <row r="1" spans="1:18" s="323" customFormat="1" x14ac:dyDescent="0.2">
      <c r="B1" s="322" t="s">
        <v>0</v>
      </c>
      <c r="C1" s="585" t="str">
        <f>'Cover Page'!D1</f>
        <v>Pima Rose Academy, Inc.</v>
      </c>
      <c r="D1" s="585"/>
      <c r="E1" s="585"/>
      <c r="G1" s="322" t="s">
        <v>1</v>
      </c>
      <c r="H1" s="902" t="str">
        <f>'Cover Page'!M1</f>
        <v>Pima</v>
      </c>
      <c r="I1" s="902"/>
      <c r="J1" s="324"/>
      <c r="K1" s="322" t="s">
        <v>2</v>
      </c>
      <c r="L1" s="325" t="str">
        <f>'Cover Page'!R1</f>
        <v>108602000</v>
      </c>
      <c r="M1" s="326"/>
      <c r="N1" s="326"/>
      <c r="O1" s="327"/>
      <c r="P1" s="328"/>
      <c r="R1" s="329"/>
    </row>
    <row r="2" spans="1:18" s="323" customFormat="1" x14ac:dyDescent="0.2">
      <c r="B2" s="322"/>
      <c r="C2" s="326"/>
      <c r="D2" s="326"/>
      <c r="E2" s="326"/>
      <c r="G2" s="322"/>
      <c r="H2" s="326"/>
      <c r="I2" s="326"/>
      <c r="J2" s="324"/>
      <c r="K2" s="322"/>
      <c r="L2" s="468"/>
      <c r="M2" s="326"/>
      <c r="N2" s="326"/>
      <c r="O2" s="327"/>
      <c r="P2" s="328"/>
      <c r="R2" s="329"/>
    </row>
    <row r="3" spans="1:18" s="469" customFormat="1" ht="24.75" customHeight="1" x14ac:dyDescent="0.2">
      <c r="A3" s="960" t="s">
        <v>1135</v>
      </c>
      <c r="B3" s="960"/>
      <c r="C3" s="960"/>
      <c r="D3" s="960"/>
      <c r="E3" s="960"/>
      <c r="F3" s="960"/>
      <c r="G3" s="960"/>
      <c r="H3" s="960"/>
      <c r="J3" s="470"/>
      <c r="K3" s="471"/>
      <c r="L3" s="472"/>
      <c r="Q3" s="473"/>
      <c r="R3" s="474"/>
    </row>
    <row r="4" spans="1:18" s="469" customFormat="1" ht="16.5" customHeight="1" x14ac:dyDescent="0.2">
      <c r="A4" s="475"/>
      <c r="B4" s="475"/>
      <c r="C4" s="475"/>
      <c r="D4" s="475"/>
      <c r="E4" s="475"/>
      <c r="F4" s="475"/>
      <c r="G4" s="475"/>
      <c r="H4" s="475"/>
      <c r="J4" s="470"/>
      <c r="K4" s="471"/>
      <c r="L4" s="472"/>
      <c r="Q4" s="473"/>
      <c r="R4" s="474"/>
    </row>
    <row r="5" spans="1:18" x14ac:dyDescent="0.2">
      <c r="A5" s="957" t="s">
        <v>1131</v>
      </c>
      <c r="B5" s="957"/>
    </row>
    <row r="7" spans="1:18" x14ac:dyDescent="0.2">
      <c r="C7" s="476" t="s">
        <v>500</v>
      </c>
      <c r="R7" s="51" t="s">
        <v>501</v>
      </c>
    </row>
    <row r="8" spans="1:18" x14ac:dyDescent="0.2">
      <c r="A8" s="477" t="s">
        <v>1136</v>
      </c>
      <c r="C8" s="478"/>
    </row>
    <row r="9" spans="1:18" x14ac:dyDescent="0.2">
      <c r="A9" s="479" t="s">
        <v>24</v>
      </c>
      <c r="B9" s="683" t="s">
        <v>1334</v>
      </c>
      <c r="C9" s="463">
        <f>IF(Summary!C17="",Summary!B17,Summary!C17)+SUM(Summary!B18:B23)</f>
        <v>50277</v>
      </c>
    </row>
    <row r="10" spans="1:18" x14ac:dyDescent="0.2">
      <c r="A10" s="481" t="s">
        <v>1137</v>
      </c>
      <c r="C10" s="478"/>
    </row>
    <row r="11" spans="1:18" x14ac:dyDescent="0.2">
      <c r="A11" s="479" t="s">
        <v>26</v>
      </c>
      <c r="B11" s="683" t="s">
        <v>1335</v>
      </c>
      <c r="C11" s="463">
        <f>SUM(Summary!K17:K23)</f>
        <v>787937</v>
      </c>
    </row>
    <row r="12" spans="1:18" x14ac:dyDescent="0.2">
      <c r="A12" s="961" t="s">
        <v>1340</v>
      </c>
      <c r="B12" s="961"/>
    </row>
    <row r="13" spans="1:18" x14ac:dyDescent="0.2">
      <c r="A13" s="479" t="s">
        <v>502</v>
      </c>
      <c r="B13" s="480" t="s">
        <v>503</v>
      </c>
      <c r="C13" s="105">
        <v>0</v>
      </c>
    </row>
    <row r="14" spans="1:18" x14ac:dyDescent="0.2">
      <c r="A14" s="479" t="s">
        <v>504</v>
      </c>
      <c r="B14" s="684" t="s">
        <v>1336</v>
      </c>
      <c r="C14" s="105">
        <v>0</v>
      </c>
    </row>
    <row r="15" spans="1:18" x14ac:dyDescent="0.2">
      <c r="A15" s="479" t="s">
        <v>505</v>
      </c>
      <c r="B15" s="670" t="s">
        <v>1337</v>
      </c>
      <c r="C15" s="105">
        <v>0</v>
      </c>
    </row>
    <row r="16" spans="1:18" x14ac:dyDescent="0.2">
      <c r="A16" s="479" t="s">
        <v>506</v>
      </c>
      <c r="B16" s="670" t="s">
        <v>1338</v>
      </c>
      <c r="C16" s="105">
        <v>0</v>
      </c>
    </row>
    <row r="17" spans="1:27" x14ac:dyDescent="0.2">
      <c r="A17" s="479" t="s">
        <v>507</v>
      </c>
      <c r="B17" s="670" t="s">
        <v>1339</v>
      </c>
      <c r="C17" s="105">
        <v>0</v>
      </c>
    </row>
    <row r="18" spans="1:27" x14ac:dyDescent="0.2">
      <c r="A18" s="479" t="s">
        <v>508</v>
      </c>
      <c r="B18" t="s">
        <v>509</v>
      </c>
      <c r="C18" s="105">
        <v>787937</v>
      </c>
    </row>
    <row r="19" spans="1:27" x14ac:dyDescent="0.2">
      <c r="A19" s="479" t="s">
        <v>510</v>
      </c>
      <c r="B19" s="482" t="s">
        <v>511</v>
      </c>
      <c r="C19" s="105">
        <v>0</v>
      </c>
    </row>
    <row r="20" spans="1:27" x14ac:dyDescent="0.2">
      <c r="A20" s="7" t="s">
        <v>512</v>
      </c>
      <c r="B20" s="482" t="s">
        <v>511</v>
      </c>
      <c r="C20" s="105">
        <v>0</v>
      </c>
    </row>
    <row r="21" spans="1:27" x14ac:dyDescent="0.2">
      <c r="A21" s="7" t="s">
        <v>513</v>
      </c>
      <c r="B21" t="s">
        <v>1132</v>
      </c>
      <c r="C21" s="516">
        <f>IF(ROUND(SUM(C13:C20),0)=ROUND(C11,0),SUM(C13:C20),"Must equal line 2")</f>
        <v>787937</v>
      </c>
    </row>
    <row r="22" spans="1:27" x14ac:dyDescent="0.2">
      <c r="A22" s="483"/>
    </row>
    <row r="23" spans="1:27" x14ac:dyDescent="0.2">
      <c r="A23" s="483"/>
    </row>
    <row r="24" spans="1:27" x14ac:dyDescent="0.2">
      <c r="A24" s="568"/>
      <c r="B24" s="568"/>
      <c r="D24" s="568"/>
      <c r="E24" s="568"/>
      <c r="F24" s="568"/>
      <c r="G24" s="568"/>
      <c r="H24" s="568"/>
    </row>
    <row r="25" spans="1:27" ht="39" customHeight="1" x14ac:dyDescent="0.2">
      <c r="A25" s="963" t="s">
        <v>1125</v>
      </c>
      <c r="B25" s="963"/>
      <c r="F25" s="596"/>
      <c r="G25" s="597" t="s">
        <v>1126</v>
      </c>
      <c r="H25" s="484"/>
      <c r="AA25" s="51" t="s">
        <v>514</v>
      </c>
    </row>
    <row r="26" spans="1:27" ht="28.5" customHeight="1" x14ac:dyDescent="0.2">
      <c r="A26" s="962" t="s">
        <v>24</v>
      </c>
      <c r="B26" s="965" t="s">
        <v>1133</v>
      </c>
      <c r="C26" s="965"/>
      <c r="D26" s="965"/>
      <c r="E26" s="966"/>
      <c r="F26" s="490" t="s">
        <v>514</v>
      </c>
      <c r="G26" s="602" t="s">
        <v>1527</v>
      </c>
      <c r="AA26" s="51" t="s">
        <v>515</v>
      </c>
    </row>
    <row r="27" spans="1:27" x14ac:dyDescent="0.2">
      <c r="A27" s="962"/>
      <c r="B27" s="598"/>
      <c r="C27" s="598"/>
      <c r="D27" s="598"/>
      <c r="E27" s="598"/>
      <c r="AA27" s="51" t="s">
        <v>515</v>
      </c>
    </row>
    <row r="28" spans="1:27" ht="44.25" customHeight="1" x14ac:dyDescent="0.2">
      <c r="A28" s="964" t="s">
        <v>1134</v>
      </c>
      <c r="B28" s="964"/>
      <c r="C28" s="964"/>
      <c r="D28" s="964"/>
      <c r="E28" s="964"/>
      <c r="F28" s="964"/>
    </row>
    <row r="29" spans="1:27" ht="20.25" customHeight="1" x14ac:dyDescent="0.2">
      <c r="A29" s="562" t="s">
        <v>26</v>
      </c>
      <c r="B29" s="958" t="s">
        <v>1127</v>
      </c>
      <c r="C29" s="958"/>
      <c r="D29" s="958"/>
      <c r="E29" s="959"/>
      <c r="F29" s="490" t="s">
        <v>515</v>
      </c>
      <c r="H29" s="484"/>
    </row>
    <row r="30" spans="1:27" ht="29.25" customHeight="1" x14ac:dyDescent="0.2">
      <c r="A30" s="562" t="s">
        <v>516</v>
      </c>
      <c r="B30" s="958" t="s">
        <v>1128</v>
      </c>
      <c r="C30" s="958"/>
      <c r="D30" s="958"/>
      <c r="E30" s="959"/>
      <c r="F30" s="490" t="s">
        <v>514</v>
      </c>
      <c r="G30" s="7"/>
      <c r="H30" s="603"/>
      <c r="AA30" s="51"/>
    </row>
    <row r="31" spans="1:27" ht="12" customHeight="1" x14ac:dyDescent="0.2">
      <c r="A31" s="485"/>
      <c r="B31" s="587"/>
      <c r="C31" s="587"/>
      <c r="D31" s="587"/>
      <c r="E31" s="587"/>
      <c r="F31" s="7"/>
      <c r="G31" s="7"/>
      <c r="H31" s="5"/>
      <c r="AA31" s="51"/>
    </row>
    <row r="32" spans="1:27" ht="15.75" customHeight="1" x14ac:dyDescent="0.2">
      <c r="A32" s="685" t="s">
        <v>1341</v>
      </c>
      <c r="B32" s="564"/>
      <c r="C32" s="564"/>
      <c r="D32" s="564"/>
      <c r="E32" s="564"/>
      <c r="F32" s="564"/>
      <c r="G32" s="486"/>
      <c r="H32" s="487"/>
    </row>
    <row r="33" spans="1:10" ht="11.25" customHeight="1" x14ac:dyDescent="0.2">
      <c r="A33" s="588"/>
      <c r="B33" s="547"/>
      <c r="C33" s="547"/>
      <c r="D33" s="547"/>
      <c r="E33" s="547"/>
      <c r="F33" s="547"/>
      <c r="G33" s="486"/>
      <c r="H33" s="487"/>
    </row>
    <row r="34" spans="1:10" ht="28.5" customHeight="1" x14ac:dyDescent="0.2">
      <c r="A34" s="563" t="s">
        <v>31</v>
      </c>
      <c r="B34" s="565" t="s">
        <v>517</v>
      </c>
      <c r="C34" s="565" t="s">
        <v>1342</v>
      </c>
      <c r="D34" s="565" t="s">
        <v>1343</v>
      </c>
      <c r="E34" s="976" t="s">
        <v>518</v>
      </c>
      <c r="F34" s="977"/>
      <c r="G34" s="977"/>
      <c r="H34" s="977"/>
      <c r="I34" s="977"/>
      <c r="J34" s="978"/>
    </row>
    <row r="35" spans="1:10" ht="39.75" customHeight="1" x14ac:dyDescent="0.2">
      <c r="A35" s="563"/>
      <c r="B35" s="637" t="s">
        <v>1529</v>
      </c>
      <c r="C35" s="105">
        <v>101312</v>
      </c>
      <c r="D35" s="105">
        <v>732822</v>
      </c>
      <c r="E35" s="979" t="s">
        <v>1528</v>
      </c>
      <c r="F35" s="980"/>
      <c r="G35" s="980"/>
      <c r="H35" s="980"/>
      <c r="I35" s="980"/>
      <c r="J35" s="981"/>
    </row>
    <row r="36" spans="1:10" ht="39.75" customHeight="1" x14ac:dyDescent="0.2">
      <c r="A36" s="563"/>
      <c r="B36" s="637"/>
      <c r="C36" s="105"/>
      <c r="D36" s="105"/>
      <c r="E36" s="982"/>
      <c r="F36" s="983"/>
      <c r="G36" s="983"/>
      <c r="H36" s="983"/>
      <c r="I36" s="983"/>
      <c r="J36" s="984"/>
    </row>
    <row r="37" spans="1:10" ht="39.75" customHeight="1" x14ac:dyDescent="0.2">
      <c r="A37" s="563"/>
      <c r="B37" s="637"/>
      <c r="C37" s="105"/>
      <c r="D37" s="105"/>
      <c r="E37" s="982"/>
      <c r="F37" s="983"/>
      <c r="G37" s="983"/>
      <c r="H37" s="983"/>
      <c r="I37" s="983"/>
      <c r="J37" s="984"/>
    </row>
    <row r="38" spans="1:10" ht="39.75" customHeight="1" x14ac:dyDescent="0.2">
      <c r="A38" s="563"/>
      <c r="B38" s="637"/>
      <c r="C38" s="105"/>
      <c r="D38" s="105"/>
      <c r="E38" s="982"/>
      <c r="F38" s="983"/>
      <c r="G38" s="983"/>
      <c r="H38" s="983"/>
      <c r="I38" s="983"/>
      <c r="J38" s="984"/>
    </row>
    <row r="39" spans="1:10" ht="16.5" customHeight="1" x14ac:dyDescent="0.2">
      <c r="A39" s="588"/>
      <c r="B39" s="566" t="s">
        <v>519</v>
      </c>
      <c r="C39" s="551">
        <f>SUM(C35:C38)</f>
        <v>101312</v>
      </c>
      <c r="D39" s="551">
        <f>SUM(D35:D38)</f>
        <v>732822</v>
      </c>
      <c r="E39" s="488"/>
      <c r="F39" s="480"/>
      <c r="G39" s="480"/>
      <c r="H39" s="480"/>
      <c r="I39" s="480"/>
    </row>
    <row r="40" spans="1:10" ht="16.5" customHeight="1" x14ac:dyDescent="0.2">
      <c r="A40" s="588"/>
      <c r="B40" s="587"/>
      <c r="C40" s="587"/>
      <c r="D40" s="488"/>
      <c r="E40" s="488"/>
      <c r="F40" s="480"/>
      <c r="G40" s="480"/>
      <c r="H40" s="480"/>
      <c r="I40" s="480"/>
    </row>
    <row r="41" spans="1:10" ht="19.5" customHeight="1" x14ac:dyDescent="0.2">
      <c r="A41" s="563" t="s">
        <v>33</v>
      </c>
      <c r="B41" s="686" t="s">
        <v>1344</v>
      </c>
      <c r="C41" s="176"/>
      <c r="D41" s="176"/>
      <c r="E41" s="176"/>
      <c r="F41" s="176"/>
      <c r="G41" s="176"/>
      <c r="H41" s="176"/>
      <c r="I41" s="176"/>
    </row>
    <row r="42" spans="1:10" x14ac:dyDescent="0.2">
      <c r="A42" s="489"/>
      <c r="B42" s="967"/>
      <c r="C42" s="968"/>
      <c r="D42" s="968"/>
      <c r="E42" s="968"/>
      <c r="F42" s="968"/>
      <c r="G42" s="968"/>
      <c r="H42" s="968"/>
      <c r="I42" s="969"/>
    </row>
    <row r="43" spans="1:10" x14ac:dyDescent="0.2">
      <c r="A43" s="4"/>
      <c r="B43" s="970"/>
      <c r="C43" s="971"/>
      <c r="D43" s="971"/>
      <c r="E43" s="971"/>
      <c r="F43" s="971"/>
      <c r="G43" s="971"/>
      <c r="H43" s="971"/>
      <c r="I43" s="972"/>
    </row>
    <row r="44" spans="1:10" ht="12.75" customHeight="1" x14ac:dyDescent="0.2">
      <c r="A44" s="4"/>
      <c r="B44" s="970"/>
      <c r="C44" s="971"/>
      <c r="D44" s="971"/>
      <c r="E44" s="971"/>
      <c r="F44" s="971"/>
      <c r="G44" s="971"/>
      <c r="H44" s="971"/>
      <c r="I44" s="972"/>
    </row>
    <row r="45" spans="1:10" x14ac:dyDescent="0.2">
      <c r="A45" s="4"/>
      <c r="B45" s="970"/>
      <c r="C45" s="971"/>
      <c r="D45" s="971"/>
      <c r="E45" s="971"/>
      <c r="F45" s="971"/>
      <c r="G45" s="971"/>
      <c r="H45" s="971"/>
      <c r="I45" s="972"/>
    </row>
    <row r="46" spans="1:10" x14ac:dyDescent="0.2">
      <c r="A46" s="4"/>
      <c r="B46" s="973"/>
      <c r="C46" s="974"/>
      <c r="D46" s="974"/>
      <c r="E46" s="974"/>
      <c r="F46" s="974"/>
      <c r="G46" s="974"/>
      <c r="H46" s="974"/>
      <c r="I46" s="975"/>
    </row>
  </sheetData>
  <sheetProtection sheet="1" objects="1" scenarios="1"/>
  <mergeCells count="16">
    <mergeCell ref="B42:I46"/>
    <mergeCell ref="E34:J34"/>
    <mergeCell ref="E35:J35"/>
    <mergeCell ref="E36:J36"/>
    <mergeCell ref="E37:J37"/>
    <mergeCell ref="E38:J38"/>
    <mergeCell ref="H1:I1"/>
    <mergeCell ref="A5:B5"/>
    <mergeCell ref="B30:E30"/>
    <mergeCell ref="A3:H3"/>
    <mergeCell ref="A12:B12"/>
    <mergeCell ref="A26:A27"/>
    <mergeCell ref="A25:B25"/>
    <mergeCell ref="A28:F28"/>
    <mergeCell ref="B29:E29"/>
    <mergeCell ref="B26:E26"/>
  </mergeCells>
  <conditionalFormatting sqref="B35:B38">
    <cfRule type="expression" dxfId="18" priority="9">
      <formula>$F$30="No"</formula>
    </cfRule>
  </conditionalFormatting>
  <conditionalFormatting sqref="B42">
    <cfRule type="expression" dxfId="17" priority="5">
      <formula>$F$30="No"</formula>
    </cfRule>
    <cfRule type="containsBlanks" dxfId="16" priority="6">
      <formula>LEN(TRIM(B42))=0</formula>
    </cfRule>
  </conditionalFormatting>
  <conditionalFormatting sqref="B35:E38">
    <cfRule type="containsBlanks" dxfId="15" priority="8">
      <formula>LEN(TRIM(B35))=0</formula>
    </cfRule>
  </conditionalFormatting>
  <conditionalFormatting sqref="C13:C20 F26:G26">
    <cfRule type="containsBlanks" dxfId="14" priority="34">
      <formula>LEN(TRIM(C13))=0</formula>
    </cfRule>
  </conditionalFormatting>
  <conditionalFormatting sqref="C39:D39">
    <cfRule type="containsBlanks" dxfId="13" priority="3">
      <formula>LEN(TRIM(C39))=0</formula>
    </cfRule>
  </conditionalFormatting>
  <conditionalFormatting sqref="E35:E38">
    <cfRule type="expression" dxfId="12" priority="7">
      <formula>$F$30="No"</formula>
    </cfRule>
  </conditionalFormatting>
  <conditionalFormatting sqref="F29:F30">
    <cfRule type="containsBlanks" dxfId="11" priority="1">
      <formula>LEN(TRIM(F29))=0</formula>
    </cfRule>
  </conditionalFormatting>
  <dataValidations count="5">
    <dataValidation type="list" allowBlank="1" showInputMessage="1" showErrorMessage="1" sqref="F31" xr:uid="{00000000-0002-0000-0D00-000000000000}">
      <formula1>$AA$25:$AA$27</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00000000-0002-0000-0D00-000001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D00-000002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D00-000003000000}">
      <formula1>9</formula1>
    </dataValidation>
    <dataValidation type="list" allowBlank="1" showInputMessage="1" showErrorMessage="1" sqref="F26 F29:F30" xr:uid="{00000000-0002-0000-0D00-000004000000}">
      <formula1>$AA$25:$AA$26</formula1>
    </dataValidation>
  </dataValidations>
  <hyperlinks>
    <hyperlink ref="A12" location="ReserveBalSecAl3" display="FY 2023 ending reserve details:" xr:uid="{00000000-0004-0000-0D00-000000000000}"/>
    <hyperlink ref="A18" location="ReserveBalSecAl3f" display="3.f" xr:uid="{00000000-0004-0000-0D00-000001000000}"/>
    <hyperlink ref="A19" location="ReserveBalSecAl3g" display="3.g" xr:uid="{00000000-0004-0000-0D00-000002000000}"/>
    <hyperlink ref="A13" location="ReserveBalSecAl3a" display="3.a" xr:uid="{00000000-0004-0000-0D00-000003000000}"/>
    <hyperlink ref="A16" location="ReserveBalSecAl3d" display="3.d" xr:uid="{00000000-0004-0000-0D00-000004000000}"/>
    <hyperlink ref="A15" location="ReserveBalSecAl3c" display="3.c" xr:uid="{00000000-0004-0000-0D00-000005000000}"/>
    <hyperlink ref="A14" location="ReserveBalSecAl3b" display="3.b" xr:uid="{00000000-0004-0000-0D00-000006000000}"/>
    <hyperlink ref="A11" location="ReserveBalSecAl2" display="2." xr:uid="{00000000-0004-0000-0D00-000007000000}"/>
    <hyperlink ref="A9" location="ReserveBalSecAl1" display="1." xr:uid="{00000000-0004-0000-0D00-000008000000}"/>
    <hyperlink ref="A5" location="ReserveBalSecA" display="A. FY 2023 change in reserve amounts and planned allocations" xr:uid="{00000000-0004-0000-0D00-000009000000}"/>
    <hyperlink ref="A17" location="ReserveBalSecAl3e" display="3.e" xr:uid="{00000000-0004-0000-0D00-00000A000000}"/>
  </hyperlinks>
  <pageMargins left="0.7" right="0.7" top="0.75" bottom="0.75" header="0.3" footer="0.3"/>
  <pageSetup scale="55" orientation="landscape" verticalDpi="598" r:id="rId1"/>
  <headerFooter>
    <oddFooter>&amp;LRev. 8/25 Arizona Department of Education and Auditor General&amp;CFY 2025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93F4-B000-4C4C-9537-728E81288F93}">
  <sheetPr>
    <pageSetUpPr fitToPage="1"/>
  </sheetPr>
  <dimension ref="A1:L99"/>
  <sheetViews>
    <sheetView showGridLines="0" workbookViewId="0">
      <selection activeCell="A10" sqref="A10"/>
    </sheetView>
  </sheetViews>
  <sheetFormatPr defaultColWidth="9.6640625" defaultRowHeight="15" x14ac:dyDescent="0.25"/>
  <cols>
    <col min="1" max="1" width="25.6640625" style="496" customWidth="1"/>
    <col min="2" max="2" width="76.6640625" style="496" customWidth="1"/>
    <col min="3" max="4" width="23.6640625" style="496" customWidth="1"/>
    <col min="5" max="6" width="26.83203125" style="496" customWidth="1"/>
    <col min="7" max="7" width="45.83203125" style="496" customWidth="1"/>
    <col min="8" max="11" width="9.6640625" style="496" customWidth="1"/>
    <col min="12" max="12" width="8.83203125" style="496" hidden="1" customWidth="1"/>
    <col min="13" max="16" width="9.6640625" style="496" customWidth="1"/>
    <col min="17" max="16384" width="9.6640625" style="496"/>
  </cols>
  <sheetData>
    <row r="1" spans="1:12" x14ac:dyDescent="0.25">
      <c r="A1" s="494" t="s">
        <v>4</v>
      </c>
      <c r="B1" s="495" t="str">
        <f>'Cover Page'!D1</f>
        <v>Pima Rose Academy, Inc.</v>
      </c>
      <c r="D1" s="988" t="s">
        <v>726</v>
      </c>
      <c r="E1" s="988"/>
    </row>
    <row r="2" spans="1:12" x14ac:dyDescent="0.25">
      <c r="A2" s="497" t="s">
        <v>2</v>
      </c>
      <c r="B2" s="498" t="str">
        <f>'Cover Page'!R1</f>
        <v>108602000</v>
      </c>
      <c r="D2" s="642"/>
    </row>
    <row r="3" spans="1:12" x14ac:dyDescent="0.25">
      <c r="A3" s="497" t="s">
        <v>1</v>
      </c>
      <c r="B3" s="495" t="str">
        <f>'Cover Page'!M1</f>
        <v>Pima</v>
      </c>
    </row>
    <row r="4" spans="1:12" x14ac:dyDescent="0.25">
      <c r="D4" s="985" t="s">
        <v>530</v>
      </c>
      <c r="E4" s="986"/>
      <c r="F4" s="986"/>
      <c r="G4" s="987"/>
    </row>
    <row r="6" spans="1:12" ht="43.5" x14ac:dyDescent="0.25">
      <c r="A6" s="499" t="s">
        <v>531</v>
      </c>
      <c r="B6" s="500" t="s">
        <v>532</v>
      </c>
      <c r="C6" s="499" t="s">
        <v>533</v>
      </c>
      <c r="D6" s="501" t="s">
        <v>534</v>
      </c>
      <c r="E6" s="499" t="s">
        <v>535</v>
      </c>
      <c r="F6" s="499" t="s">
        <v>536</v>
      </c>
      <c r="G6" s="499" t="s">
        <v>537</v>
      </c>
    </row>
    <row r="7" spans="1:12" x14ac:dyDescent="0.25">
      <c r="A7" s="502" t="s">
        <v>538</v>
      </c>
      <c r="B7" s="503" t="s">
        <v>538</v>
      </c>
      <c r="C7" s="504" t="str">
        <f>B2</f>
        <v>108602000</v>
      </c>
      <c r="D7" s="696">
        <v>441.43700000000001</v>
      </c>
      <c r="E7" s="9"/>
      <c r="F7" s="11"/>
      <c r="G7" s="12"/>
      <c r="L7" s="496" t="s">
        <v>539</v>
      </c>
    </row>
    <row r="8" spans="1:12" ht="13.5" customHeight="1" x14ac:dyDescent="0.25">
      <c r="A8" s="508" t="s">
        <v>540</v>
      </c>
      <c r="B8" s="509"/>
      <c r="C8" s="509"/>
      <c r="D8" s="509"/>
      <c r="E8" s="9"/>
      <c r="F8" s="11"/>
      <c r="G8" s="9"/>
      <c r="L8" s="496" t="s">
        <v>541</v>
      </c>
    </row>
    <row r="9" spans="1:12" x14ac:dyDescent="0.25">
      <c r="A9" s="502" t="s">
        <v>542</v>
      </c>
      <c r="B9" s="509"/>
      <c r="C9" s="509"/>
      <c r="D9" s="509"/>
      <c r="E9" s="509"/>
      <c r="F9" s="11"/>
      <c r="G9" s="509"/>
      <c r="L9" s="496" t="s">
        <v>543</v>
      </c>
    </row>
    <row r="10" spans="1:12" x14ac:dyDescent="0.25">
      <c r="A10" s="502" t="s">
        <v>544</v>
      </c>
      <c r="B10" s="9" t="s">
        <v>1395</v>
      </c>
      <c r="C10" s="10" t="s">
        <v>1396</v>
      </c>
      <c r="D10" s="696">
        <v>441.43700000000001</v>
      </c>
      <c r="E10" s="9">
        <v>101</v>
      </c>
      <c r="F10" s="11">
        <v>101</v>
      </c>
      <c r="G10" s="12"/>
      <c r="L10" s="496" t="s">
        <v>545</v>
      </c>
    </row>
    <row r="11" spans="1:12" x14ac:dyDescent="0.25">
      <c r="A11" s="502" t="s">
        <v>546</v>
      </c>
      <c r="B11" s="9"/>
      <c r="C11" s="10"/>
      <c r="D11" s="696"/>
      <c r="E11" s="9"/>
      <c r="F11" s="11"/>
      <c r="G11" s="12"/>
      <c r="L11" s="496" t="s">
        <v>547</v>
      </c>
    </row>
    <row r="12" spans="1:12" x14ac:dyDescent="0.25">
      <c r="A12" s="502" t="s">
        <v>548</v>
      </c>
      <c r="B12" s="9"/>
      <c r="C12" s="10"/>
      <c r="D12" s="696"/>
      <c r="E12" s="9"/>
      <c r="F12" s="11"/>
      <c r="G12" s="12"/>
      <c r="L12" s="496" t="s">
        <v>549</v>
      </c>
    </row>
    <row r="13" spans="1:12" x14ac:dyDescent="0.25">
      <c r="A13" s="502" t="s">
        <v>550</v>
      </c>
      <c r="B13" s="9"/>
      <c r="C13" s="10"/>
      <c r="D13" s="696"/>
      <c r="E13" s="9"/>
      <c r="F13" s="11"/>
      <c r="G13" s="12"/>
      <c r="L13" s="496" t="s">
        <v>551</v>
      </c>
    </row>
    <row r="14" spans="1:12" x14ac:dyDescent="0.25">
      <c r="A14" s="502" t="s">
        <v>552</v>
      </c>
      <c r="B14" s="9"/>
      <c r="C14" s="10"/>
      <c r="D14" s="696"/>
      <c r="E14" s="9"/>
      <c r="F14" s="11"/>
      <c r="G14" s="12"/>
      <c r="L14" s="496" t="s">
        <v>553</v>
      </c>
    </row>
    <row r="15" spans="1:12" x14ac:dyDescent="0.25">
      <c r="A15" s="502" t="s">
        <v>554</v>
      </c>
      <c r="B15" s="9"/>
      <c r="C15" s="10"/>
      <c r="D15" s="696"/>
      <c r="E15" s="9"/>
      <c r="F15" s="11"/>
      <c r="G15" s="12"/>
      <c r="L15" s="496" t="s">
        <v>555</v>
      </c>
    </row>
    <row r="16" spans="1:12" x14ac:dyDescent="0.25">
      <c r="A16" s="502" t="s">
        <v>556</v>
      </c>
      <c r="B16" s="9"/>
      <c r="C16" s="10"/>
      <c r="D16" s="696"/>
      <c r="E16" s="9"/>
      <c r="F16" s="11"/>
      <c r="G16" s="12"/>
      <c r="L16" s="496" t="s">
        <v>557</v>
      </c>
    </row>
    <row r="17" spans="1:12" x14ac:dyDescent="0.25">
      <c r="A17" s="502" t="s">
        <v>558</v>
      </c>
      <c r="B17" s="9"/>
      <c r="C17" s="10"/>
      <c r="D17" s="696"/>
      <c r="E17" s="9"/>
      <c r="F17" s="11"/>
      <c r="G17" s="12"/>
      <c r="L17" s="496" t="s">
        <v>559</v>
      </c>
    </row>
    <row r="18" spans="1:12" x14ac:dyDescent="0.25">
      <c r="A18" s="502" t="s">
        <v>560</v>
      </c>
      <c r="B18" s="9"/>
      <c r="C18" s="10"/>
      <c r="D18" s="696"/>
      <c r="E18" s="9"/>
      <c r="F18" s="11"/>
      <c r="G18" s="12"/>
      <c r="L18" s="496" t="s">
        <v>561</v>
      </c>
    </row>
    <row r="19" spans="1:12" x14ac:dyDescent="0.25">
      <c r="A19" s="502" t="s">
        <v>562</v>
      </c>
      <c r="B19" s="9"/>
      <c r="C19" s="10"/>
      <c r="D19" s="696"/>
      <c r="E19" s="9"/>
      <c r="F19" s="11"/>
      <c r="G19" s="12"/>
      <c r="L19" s="496" t="s">
        <v>563</v>
      </c>
    </row>
    <row r="20" spans="1:12" x14ac:dyDescent="0.25">
      <c r="A20" s="502" t="s">
        <v>564</v>
      </c>
      <c r="B20" s="9"/>
      <c r="C20" s="10"/>
      <c r="D20" s="696"/>
      <c r="E20" s="9"/>
      <c r="F20" s="11"/>
      <c r="G20" s="12"/>
      <c r="L20" s="496" t="s">
        <v>565</v>
      </c>
    </row>
    <row r="21" spans="1:12" x14ac:dyDescent="0.25">
      <c r="A21" s="502" t="s">
        <v>566</v>
      </c>
      <c r="B21" s="9"/>
      <c r="C21" s="10"/>
      <c r="D21" s="696"/>
      <c r="E21" s="9"/>
      <c r="F21" s="11"/>
      <c r="G21" s="12"/>
      <c r="L21" s="496" t="s">
        <v>567</v>
      </c>
    </row>
    <row r="22" spans="1:12" x14ac:dyDescent="0.25">
      <c r="A22" s="502" t="s">
        <v>568</v>
      </c>
      <c r="B22" s="9"/>
      <c r="C22" s="10"/>
      <c r="D22" s="696"/>
      <c r="E22" s="9"/>
      <c r="F22" s="11"/>
      <c r="G22" s="12"/>
      <c r="L22" s="496" t="s">
        <v>569</v>
      </c>
    </row>
    <row r="23" spans="1:12" x14ac:dyDescent="0.25">
      <c r="A23" s="502" t="s">
        <v>570</v>
      </c>
      <c r="B23" s="9"/>
      <c r="C23" s="10"/>
      <c r="D23" s="696"/>
      <c r="E23" s="9"/>
      <c r="F23" s="11"/>
      <c r="G23" s="12"/>
      <c r="L23" s="496" t="s">
        <v>571</v>
      </c>
    </row>
    <row r="24" spans="1:12" x14ac:dyDescent="0.25">
      <c r="A24" s="502" t="s">
        <v>572</v>
      </c>
      <c r="B24" s="9"/>
      <c r="C24" s="10"/>
      <c r="D24" s="696"/>
      <c r="E24" s="9"/>
      <c r="F24" s="11"/>
      <c r="G24" s="12"/>
      <c r="L24" s="496" t="s">
        <v>573</v>
      </c>
    </row>
    <row r="25" spans="1:12" x14ac:dyDescent="0.25">
      <c r="A25" s="502" t="s">
        <v>574</v>
      </c>
      <c r="B25" s="9"/>
      <c r="C25" s="10"/>
      <c r="D25" s="696"/>
      <c r="E25" s="9"/>
      <c r="F25" s="11"/>
      <c r="G25" s="12"/>
      <c r="L25" s="496" t="s">
        <v>575</v>
      </c>
    </row>
    <row r="26" spans="1:12" x14ac:dyDescent="0.25">
      <c r="A26" s="502" t="s">
        <v>576</v>
      </c>
      <c r="B26" s="9"/>
      <c r="C26" s="10"/>
      <c r="D26" s="696"/>
      <c r="E26" s="9"/>
      <c r="F26" s="11"/>
      <c r="G26" s="12"/>
      <c r="L26" s="496" t="s">
        <v>577</v>
      </c>
    </row>
    <row r="27" spans="1:12" x14ac:dyDescent="0.25">
      <c r="A27" s="502" t="s">
        <v>578</v>
      </c>
      <c r="B27" s="9"/>
      <c r="C27" s="10"/>
      <c r="D27" s="696"/>
      <c r="E27" s="9"/>
      <c r="F27" s="11"/>
      <c r="G27" s="12"/>
      <c r="L27" s="496" t="s">
        <v>579</v>
      </c>
    </row>
    <row r="28" spans="1:12" x14ac:dyDescent="0.25">
      <c r="A28" s="502" t="s">
        <v>580</v>
      </c>
      <c r="B28" s="9"/>
      <c r="C28" s="10"/>
      <c r="D28" s="696"/>
      <c r="E28" s="9"/>
      <c r="F28" s="11"/>
      <c r="G28" s="12"/>
      <c r="L28" s="496" t="s">
        <v>581</v>
      </c>
    </row>
    <row r="29" spans="1:12" x14ac:dyDescent="0.25">
      <c r="A29" s="502" t="s">
        <v>582</v>
      </c>
      <c r="B29" s="9"/>
      <c r="C29" s="10"/>
      <c r="D29" s="696"/>
      <c r="E29" s="9"/>
      <c r="F29" s="11"/>
      <c r="G29" s="12"/>
      <c r="L29" s="496" t="s">
        <v>583</v>
      </c>
    </row>
    <row r="30" spans="1:12" x14ac:dyDescent="0.25">
      <c r="A30" s="502" t="s">
        <v>584</v>
      </c>
      <c r="B30" s="9"/>
      <c r="C30" s="10"/>
      <c r="D30" s="696"/>
      <c r="E30" s="9"/>
      <c r="F30" s="11"/>
      <c r="G30" s="12"/>
      <c r="L30" s="496" t="s">
        <v>585</v>
      </c>
    </row>
    <row r="31" spans="1:12" x14ac:dyDescent="0.25">
      <c r="A31" s="502" t="s">
        <v>586</v>
      </c>
      <c r="B31" s="9"/>
      <c r="C31" s="10"/>
      <c r="D31" s="696"/>
      <c r="E31" s="9"/>
      <c r="F31" s="11"/>
      <c r="G31" s="12"/>
      <c r="L31" s="496" t="s">
        <v>587</v>
      </c>
    </row>
    <row r="32" spans="1:12" x14ac:dyDescent="0.25">
      <c r="A32" s="502" t="s">
        <v>588</v>
      </c>
      <c r="B32" s="9"/>
      <c r="C32" s="10"/>
      <c r="D32" s="696"/>
      <c r="E32" s="9"/>
      <c r="F32" s="11"/>
      <c r="G32" s="12"/>
      <c r="L32" s="496" t="s">
        <v>589</v>
      </c>
    </row>
    <row r="33" spans="1:12" x14ac:dyDescent="0.25">
      <c r="A33" s="502" t="s">
        <v>590</v>
      </c>
      <c r="B33" s="9"/>
      <c r="C33" s="10"/>
      <c r="D33" s="696"/>
      <c r="E33" s="9"/>
      <c r="F33" s="11"/>
      <c r="G33" s="12"/>
      <c r="L33" s="496" t="s">
        <v>591</v>
      </c>
    </row>
    <row r="34" spans="1:12" x14ac:dyDescent="0.25">
      <c r="A34" s="502" t="s">
        <v>592</v>
      </c>
      <c r="B34" s="9"/>
      <c r="C34" s="10"/>
      <c r="D34" s="696"/>
      <c r="E34" s="9"/>
      <c r="F34" s="11"/>
      <c r="G34" s="12"/>
      <c r="L34" s="496" t="s">
        <v>593</v>
      </c>
    </row>
    <row r="35" spans="1:12" hidden="1" x14ac:dyDescent="0.25">
      <c r="A35" s="502" t="s">
        <v>594</v>
      </c>
      <c r="B35" s="502"/>
      <c r="C35" s="504"/>
      <c r="D35" s="505"/>
      <c r="E35" s="502"/>
      <c r="F35" s="506"/>
      <c r="G35" s="507"/>
      <c r="L35" s="496" t="s">
        <v>595</v>
      </c>
    </row>
    <row r="36" spans="1:12" hidden="1" x14ac:dyDescent="0.25">
      <c r="A36" s="502" t="s">
        <v>596</v>
      </c>
      <c r="B36" s="502"/>
      <c r="C36" s="504"/>
      <c r="D36" s="505"/>
      <c r="E36" s="502"/>
      <c r="F36" s="506"/>
      <c r="G36" s="507"/>
      <c r="L36" s="496" t="s">
        <v>597</v>
      </c>
    </row>
    <row r="37" spans="1:12" hidden="1" x14ac:dyDescent="0.25">
      <c r="A37" s="502" t="s">
        <v>598</v>
      </c>
      <c r="B37" s="502"/>
      <c r="C37" s="504"/>
      <c r="D37" s="505"/>
      <c r="E37" s="502"/>
      <c r="F37" s="506"/>
      <c r="G37" s="507"/>
      <c r="L37" s="496" t="s">
        <v>599</v>
      </c>
    </row>
    <row r="38" spans="1:12" hidden="1" x14ac:dyDescent="0.25">
      <c r="A38" s="502" t="s">
        <v>600</v>
      </c>
      <c r="B38" s="502"/>
      <c r="C38" s="504"/>
      <c r="D38" s="505"/>
      <c r="E38" s="502"/>
      <c r="F38" s="506"/>
      <c r="G38" s="507"/>
      <c r="L38" s="496" t="s">
        <v>601</v>
      </c>
    </row>
    <row r="39" spans="1:12" hidden="1" x14ac:dyDescent="0.25">
      <c r="A39" s="502" t="s">
        <v>602</v>
      </c>
      <c r="B39" s="502"/>
      <c r="C39" s="504"/>
      <c r="D39" s="505"/>
      <c r="E39" s="502"/>
      <c r="F39" s="506"/>
      <c r="G39" s="507"/>
      <c r="L39" s="496" t="s">
        <v>603</v>
      </c>
    </row>
    <row r="40" spans="1:12" hidden="1" x14ac:dyDescent="0.25">
      <c r="A40" s="502" t="s">
        <v>604</v>
      </c>
      <c r="B40" s="502"/>
      <c r="C40" s="504"/>
      <c r="D40" s="505"/>
      <c r="E40" s="502"/>
      <c r="F40" s="506"/>
      <c r="G40" s="507"/>
      <c r="L40" s="496" t="s">
        <v>605</v>
      </c>
    </row>
    <row r="41" spans="1:12" hidden="1" x14ac:dyDescent="0.25">
      <c r="A41" s="502" t="s">
        <v>606</v>
      </c>
      <c r="B41" s="502"/>
      <c r="C41" s="504"/>
      <c r="D41" s="505"/>
      <c r="E41" s="502"/>
      <c r="F41" s="506"/>
      <c r="G41" s="507"/>
      <c r="L41" s="496" t="s">
        <v>607</v>
      </c>
    </row>
    <row r="42" spans="1:12" hidden="1" x14ac:dyDescent="0.25">
      <c r="A42" s="502" t="s">
        <v>608</v>
      </c>
      <c r="B42" s="502"/>
      <c r="C42" s="504"/>
      <c r="D42" s="505"/>
      <c r="E42" s="502"/>
      <c r="F42" s="506"/>
      <c r="G42" s="507"/>
      <c r="L42" s="496" t="s">
        <v>609</v>
      </c>
    </row>
    <row r="43" spans="1:12" hidden="1" x14ac:dyDescent="0.25">
      <c r="A43" s="502" t="s">
        <v>610</v>
      </c>
      <c r="B43" s="502"/>
      <c r="C43" s="504"/>
      <c r="D43" s="505"/>
      <c r="E43" s="502"/>
      <c r="F43" s="506"/>
      <c r="G43" s="507"/>
      <c r="L43" s="496" t="s">
        <v>611</v>
      </c>
    </row>
    <row r="44" spans="1:12" hidden="1" x14ac:dyDescent="0.25">
      <c r="A44" s="502" t="s">
        <v>612</v>
      </c>
      <c r="B44" s="502"/>
      <c r="C44" s="504"/>
      <c r="D44" s="505"/>
      <c r="E44" s="502"/>
      <c r="F44" s="506"/>
      <c r="G44" s="507"/>
      <c r="L44" s="496" t="s">
        <v>613</v>
      </c>
    </row>
    <row r="45" spans="1:12" hidden="1" x14ac:dyDescent="0.25">
      <c r="A45" s="502" t="s">
        <v>614</v>
      </c>
      <c r="B45" s="502"/>
      <c r="C45" s="504"/>
      <c r="D45" s="505"/>
      <c r="E45" s="502"/>
      <c r="F45" s="506"/>
      <c r="G45" s="507"/>
      <c r="L45" s="496" t="s">
        <v>615</v>
      </c>
    </row>
    <row r="46" spans="1:12" hidden="1" x14ac:dyDescent="0.25">
      <c r="A46" s="502" t="s">
        <v>616</v>
      </c>
      <c r="B46" s="502"/>
      <c r="C46" s="504"/>
      <c r="D46" s="505"/>
      <c r="E46" s="502"/>
      <c r="F46" s="506"/>
      <c r="G46" s="507"/>
      <c r="L46" s="496" t="s">
        <v>617</v>
      </c>
    </row>
    <row r="47" spans="1:12" hidden="1" x14ac:dyDescent="0.25">
      <c r="A47" s="502" t="s">
        <v>618</v>
      </c>
      <c r="B47" s="502"/>
      <c r="C47" s="504"/>
      <c r="D47" s="505"/>
      <c r="E47" s="502"/>
      <c r="F47" s="506"/>
      <c r="G47" s="507"/>
      <c r="L47" s="496" t="s">
        <v>619</v>
      </c>
    </row>
    <row r="48" spans="1:12" hidden="1" x14ac:dyDescent="0.25">
      <c r="A48" s="502" t="s">
        <v>620</v>
      </c>
      <c r="B48" s="502"/>
      <c r="C48" s="504"/>
      <c r="D48" s="505"/>
      <c r="E48" s="502"/>
      <c r="F48" s="506"/>
      <c r="G48" s="507"/>
      <c r="L48" s="496" t="s">
        <v>621</v>
      </c>
    </row>
    <row r="49" spans="1:12" hidden="1" x14ac:dyDescent="0.25">
      <c r="A49" s="502" t="s">
        <v>622</v>
      </c>
      <c r="B49" s="502"/>
      <c r="C49" s="504"/>
      <c r="D49" s="505"/>
      <c r="E49" s="502"/>
      <c r="F49" s="506"/>
      <c r="G49" s="507"/>
      <c r="L49" s="496" t="s">
        <v>623</v>
      </c>
    </row>
    <row r="50" spans="1:12" hidden="1" x14ac:dyDescent="0.25">
      <c r="A50" s="502" t="s">
        <v>624</v>
      </c>
      <c r="B50" s="502"/>
      <c r="C50" s="504"/>
      <c r="D50" s="505"/>
      <c r="E50" s="502"/>
      <c r="F50" s="506"/>
      <c r="G50" s="507"/>
      <c r="L50" s="496" t="s">
        <v>625</v>
      </c>
    </row>
    <row r="51" spans="1:12" hidden="1" x14ac:dyDescent="0.25">
      <c r="A51" s="502" t="s">
        <v>626</v>
      </c>
      <c r="B51" s="502"/>
      <c r="C51" s="504"/>
      <c r="D51" s="505"/>
      <c r="E51" s="502"/>
      <c r="F51" s="506"/>
      <c r="G51" s="507"/>
      <c r="L51" s="496" t="s">
        <v>627</v>
      </c>
    </row>
    <row r="52" spans="1:12" hidden="1" x14ac:dyDescent="0.25">
      <c r="A52" s="502" t="s">
        <v>628</v>
      </c>
      <c r="B52" s="502"/>
      <c r="C52" s="504"/>
      <c r="D52" s="505"/>
      <c r="E52" s="502"/>
      <c r="F52" s="506"/>
      <c r="G52" s="507"/>
      <c r="L52" s="496" t="s">
        <v>629</v>
      </c>
    </row>
    <row r="53" spans="1:12" hidden="1" x14ac:dyDescent="0.25">
      <c r="A53" s="502" t="s">
        <v>630</v>
      </c>
      <c r="B53" s="502"/>
      <c r="C53" s="504"/>
      <c r="D53" s="505"/>
      <c r="E53" s="502"/>
      <c r="F53" s="506"/>
      <c r="G53" s="507"/>
      <c r="L53" s="496" t="s">
        <v>631</v>
      </c>
    </row>
    <row r="54" spans="1:12" hidden="1" x14ac:dyDescent="0.25">
      <c r="A54" s="502" t="s">
        <v>632</v>
      </c>
      <c r="B54" s="502"/>
      <c r="C54" s="504"/>
      <c r="D54" s="505"/>
      <c r="E54" s="502"/>
      <c r="F54" s="506"/>
      <c r="G54" s="507"/>
      <c r="L54" s="496" t="s">
        <v>633</v>
      </c>
    </row>
    <row r="55" spans="1:12" hidden="1" x14ac:dyDescent="0.25">
      <c r="A55" s="502" t="s">
        <v>634</v>
      </c>
      <c r="B55" s="502"/>
      <c r="C55" s="504"/>
      <c r="D55" s="505"/>
      <c r="E55" s="502"/>
      <c r="F55" s="506"/>
      <c r="G55" s="507"/>
      <c r="L55" s="496" t="s">
        <v>635</v>
      </c>
    </row>
    <row r="56" spans="1:12" hidden="1" x14ac:dyDescent="0.25">
      <c r="A56" s="502" t="s">
        <v>636</v>
      </c>
      <c r="B56" s="502"/>
      <c r="C56" s="504"/>
      <c r="D56" s="505"/>
      <c r="E56" s="502"/>
      <c r="F56" s="506"/>
      <c r="G56" s="507"/>
      <c r="L56" s="496" t="s">
        <v>637</v>
      </c>
    </row>
    <row r="57" spans="1:12" hidden="1" x14ac:dyDescent="0.25">
      <c r="A57" s="502" t="s">
        <v>638</v>
      </c>
      <c r="B57" s="502"/>
      <c r="C57" s="504"/>
      <c r="D57" s="505"/>
      <c r="E57" s="502"/>
      <c r="F57" s="506"/>
      <c r="G57" s="507"/>
      <c r="L57" s="496" t="s">
        <v>639</v>
      </c>
    </row>
    <row r="58" spans="1:12" hidden="1" x14ac:dyDescent="0.25">
      <c r="A58" s="502" t="s">
        <v>640</v>
      </c>
      <c r="B58" s="502"/>
      <c r="C58" s="504"/>
      <c r="D58" s="505"/>
      <c r="E58" s="502"/>
      <c r="F58" s="506"/>
      <c r="G58" s="507"/>
      <c r="L58" s="496" t="s">
        <v>641</v>
      </c>
    </row>
    <row r="59" spans="1:12" hidden="1" x14ac:dyDescent="0.25">
      <c r="A59" s="502" t="s">
        <v>642</v>
      </c>
      <c r="B59" s="502"/>
      <c r="C59" s="504"/>
      <c r="D59" s="505"/>
      <c r="E59" s="502"/>
      <c r="F59" s="506"/>
      <c r="G59" s="507"/>
      <c r="L59" s="496" t="s">
        <v>643</v>
      </c>
    </row>
    <row r="60" spans="1:12" hidden="1" x14ac:dyDescent="0.25">
      <c r="A60" s="502" t="s">
        <v>644</v>
      </c>
      <c r="B60" s="502"/>
      <c r="C60" s="504"/>
      <c r="D60" s="505"/>
      <c r="E60" s="502"/>
      <c r="F60" s="506"/>
      <c r="G60" s="507"/>
      <c r="L60" s="496" t="s">
        <v>645</v>
      </c>
    </row>
    <row r="61" spans="1:12" hidden="1" x14ac:dyDescent="0.25">
      <c r="A61" s="502" t="s">
        <v>646</v>
      </c>
      <c r="B61" s="502"/>
      <c r="C61" s="504"/>
      <c r="D61" s="505"/>
      <c r="E61" s="502"/>
      <c r="F61" s="506"/>
      <c r="G61" s="507"/>
      <c r="L61" s="496" t="s">
        <v>647</v>
      </c>
    </row>
    <row r="62" spans="1:12" hidden="1" x14ac:dyDescent="0.25">
      <c r="A62" s="502" t="s">
        <v>648</v>
      </c>
      <c r="B62" s="502"/>
      <c r="C62" s="504"/>
      <c r="D62" s="505"/>
      <c r="E62" s="502"/>
      <c r="F62" s="506"/>
      <c r="G62" s="507"/>
      <c r="L62" s="496" t="s">
        <v>649</v>
      </c>
    </row>
    <row r="63" spans="1:12" hidden="1" x14ac:dyDescent="0.25">
      <c r="A63" s="502" t="s">
        <v>650</v>
      </c>
      <c r="B63" s="502"/>
      <c r="C63" s="504"/>
      <c r="D63" s="505"/>
      <c r="E63" s="502"/>
      <c r="F63" s="506"/>
      <c r="G63" s="507"/>
      <c r="L63" s="496" t="s">
        <v>651</v>
      </c>
    </row>
    <row r="64" spans="1:12" hidden="1" x14ac:dyDescent="0.25">
      <c r="A64" s="502" t="s">
        <v>652</v>
      </c>
      <c r="B64" s="502"/>
      <c r="C64" s="504"/>
      <c r="D64" s="505"/>
      <c r="E64" s="502"/>
      <c r="F64" s="506"/>
      <c r="G64" s="507"/>
      <c r="L64" s="496" t="s">
        <v>653</v>
      </c>
    </row>
    <row r="65" spans="1:12" hidden="1" x14ac:dyDescent="0.25">
      <c r="A65" s="502" t="s">
        <v>654</v>
      </c>
      <c r="B65" s="502"/>
      <c r="C65" s="504"/>
      <c r="D65" s="505"/>
      <c r="E65" s="502"/>
      <c r="F65" s="506"/>
      <c r="G65" s="507"/>
      <c r="L65" s="496" t="s">
        <v>655</v>
      </c>
    </row>
    <row r="66" spans="1:12" hidden="1" x14ac:dyDescent="0.25">
      <c r="A66" s="502" t="s">
        <v>656</v>
      </c>
      <c r="B66" s="502"/>
      <c r="C66" s="504"/>
      <c r="D66" s="505"/>
      <c r="E66" s="502"/>
      <c r="F66" s="506"/>
      <c r="G66" s="507"/>
      <c r="L66" s="496" t="s">
        <v>657</v>
      </c>
    </row>
    <row r="67" spans="1:12" hidden="1" x14ac:dyDescent="0.25">
      <c r="A67" s="502" t="s">
        <v>658</v>
      </c>
      <c r="B67" s="502"/>
      <c r="C67" s="504"/>
      <c r="D67" s="505"/>
      <c r="E67" s="502"/>
      <c r="F67" s="506"/>
      <c r="G67" s="507"/>
      <c r="L67" s="496" t="s">
        <v>659</v>
      </c>
    </row>
    <row r="68" spans="1:12" hidden="1" x14ac:dyDescent="0.25">
      <c r="A68" s="502" t="s">
        <v>660</v>
      </c>
      <c r="B68" s="502"/>
      <c r="C68" s="504"/>
      <c r="D68" s="505"/>
      <c r="E68" s="502"/>
      <c r="F68" s="506"/>
      <c r="G68" s="507"/>
      <c r="L68" s="496" t="s">
        <v>661</v>
      </c>
    </row>
    <row r="69" spans="1:12" hidden="1" x14ac:dyDescent="0.25">
      <c r="A69" s="502" t="s">
        <v>662</v>
      </c>
      <c r="B69" s="502"/>
      <c r="C69" s="504"/>
      <c r="D69" s="505"/>
      <c r="E69" s="502"/>
      <c r="F69" s="506"/>
      <c r="G69" s="507"/>
      <c r="L69" s="496" t="s">
        <v>663</v>
      </c>
    </row>
    <row r="70" spans="1:12" hidden="1" x14ac:dyDescent="0.25">
      <c r="A70" s="502" t="s">
        <v>664</v>
      </c>
      <c r="B70" s="502"/>
      <c r="C70" s="504"/>
      <c r="D70" s="505"/>
      <c r="E70" s="502"/>
      <c r="F70" s="506"/>
      <c r="G70" s="507"/>
      <c r="L70" s="496" t="s">
        <v>665</v>
      </c>
    </row>
    <row r="71" spans="1:12" hidden="1" x14ac:dyDescent="0.25">
      <c r="A71" s="502" t="s">
        <v>666</v>
      </c>
      <c r="B71" s="502"/>
      <c r="C71" s="504"/>
      <c r="D71" s="505"/>
      <c r="E71" s="502"/>
      <c r="F71" s="506"/>
      <c r="G71" s="507"/>
      <c r="L71" s="496" t="s">
        <v>667</v>
      </c>
    </row>
    <row r="72" spans="1:12" hidden="1" x14ac:dyDescent="0.25">
      <c r="A72" s="502" t="s">
        <v>668</v>
      </c>
      <c r="B72" s="502"/>
      <c r="C72" s="504"/>
      <c r="D72" s="505"/>
      <c r="E72" s="502"/>
      <c r="F72" s="506"/>
      <c r="G72" s="507"/>
      <c r="L72" s="496" t="s">
        <v>669</v>
      </c>
    </row>
    <row r="73" spans="1:12" hidden="1" x14ac:dyDescent="0.25">
      <c r="A73" s="502" t="s">
        <v>670</v>
      </c>
      <c r="B73" s="502"/>
      <c r="C73" s="504"/>
      <c r="D73" s="505"/>
      <c r="E73" s="502"/>
      <c r="F73" s="506"/>
      <c r="G73" s="507"/>
      <c r="L73" s="496" t="s">
        <v>671</v>
      </c>
    </row>
    <row r="74" spans="1:12" hidden="1" x14ac:dyDescent="0.25">
      <c r="A74" s="502" t="s">
        <v>672</v>
      </c>
      <c r="B74" s="502"/>
      <c r="C74" s="504"/>
      <c r="D74" s="505"/>
      <c r="E74" s="502"/>
      <c r="F74" s="506"/>
      <c r="G74" s="507"/>
      <c r="L74" s="496" t="s">
        <v>673</v>
      </c>
    </row>
    <row r="75" spans="1:12" hidden="1" x14ac:dyDescent="0.25">
      <c r="A75" s="502" t="s">
        <v>674</v>
      </c>
      <c r="B75" s="502"/>
      <c r="C75" s="504"/>
      <c r="D75" s="505"/>
      <c r="E75" s="502"/>
      <c r="F75" s="506"/>
      <c r="G75" s="507"/>
      <c r="L75" s="496" t="s">
        <v>675</v>
      </c>
    </row>
    <row r="76" spans="1:12" hidden="1" x14ac:dyDescent="0.25">
      <c r="A76" s="502" t="s">
        <v>676</v>
      </c>
      <c r="B76" s="502"/>
      <c r="C76" s="504"/>
      <c r="D76" s="505"/>
      <c r="E76" s="502"/>
      <c r="F76" s="506"/>
      <c r="G76" s="507"/>
      <c r="L76" s="496" t="s">
        <v>677</v>
      </c>
    </row>
    <row r="77" spans="1:12" hidden="1" x14ac:dyDescent="0.25">
      <c r="A77" s="502" t="s">
        <v>678</v>
      </c>
      <c r="B77" s="502"/>
      <c r="C77" s="504"/>
      <c r="D77" s="505"/>
      <c r="E77" s="502"/>
      <c r="F77" s="506"/>
      <c r="G77" s="507"/>
      <c r="L77" s="496" t="s">
        <v>679</v>
      </c>
    </row>
    <row r="78" spans="1:12" hidden="1" x14ac:dyDescent="0.25">
      <c r="A78" s="502" t="s">
        <v>680</v>
      </c>
      <c r="B78" s="502"/>
      <c r="C78" s="504"/>
      <c r="D78" s="505"/>
      <c r="E78" s="502"/>
      <c r="F78" s="506"/>
      <c r="G78" s="507"/>
      <c r="L78" s="496" t="s">
        <v>681</v>
      </c>
    </row>
    <row r="79" spans="1:12" hidden="1" x14ac:dyDescent="0.25">
      <c r="A79" s="502" t="s">
        <v>682</v>
      </c>
      <c r="B79" s="502"/>
      <c r="C79" s="504"/>
      <c r="D79" s="505"/>
      <c r="E79" s="502"/>
      <c r="F79" s="506"/>
      <c r="G79" s="507"/>
      <c r="L79" s="496" t="s">
        <v>683</v>
      </c>
    </row>
    <row r="80" spans="1:12" hidden="1" x14ac:dyDescent="0.25">
      <c r="A80" s="502" t="s">
        <v>684</v>
      </c>
      <c r="B80" s="502"/>
      <c r="C80" s="504"/>
      <c r="D80" s="505"/>
      <c r="E80" s="502"/>
      <c r="F80" s="506"/>
      <c r="G80" s="507"/>
      <c r="L80" s="496" t="s">
        <v>685</v>
      </c>
    </row>
    <row r="81" spans="1:12" hidden="1" x14ac:dyDescent="0.25">
      <c r="A81" s="502" t="s">
        <v>686</v>
      </c>
      <c r="B81" s="502"/>
      <c r="C81" s="504"/>
      <c r="D81" s="505"/>
      <c r="E81" s="502"/>
      <c r="F81" s="506"/>
      <c r="G81" s="507"/>
      <c r="L81" s="496" t="s">
        <v>687</v>
      </c>
    </row>
    <row r="82" spans="1:12" hidden="1" x14ac:dyDescent="0.25">
      <c r="A82" s="502" t="s">
        <v>688</v>
      </c>
      <c r="B82" s="502"/>
      <c r="C82" s="504"/>
      <c r="D82" s="505"/>
      <c r="E82" s="502"/>
      <c r="F82" s="506"/>
      <c r="G82" s="507"/>
      <c r="L82" s="496" t="s">
        <v>689</v>
      </c>
    </row>
    <row r="83" spans="1:12" hidden="1" x14ac:dyDescent="0.25">
      <c r="A83" s="502" t="s">
        <v>690</v>
      </c>
      <c r="B83" s="502"/>
      <c r="C83" s="504"/>
      <c r="D83" s="505"/>
      <c r="E83" s="502"/>
      <c r="F83" s="506"/>
      <c r="G83" s="507"/>
      <c r="L83" s="496" t="s">
        <v>691</v>
      </c>
    </row>
    <row r="84" spans="1:12" hidden="1" x14ac:dyDescent="0.25">
      <c r="A84" s="502" t="s">
        <v>692</v>
      </c>
      <c r="B84" s="502"/>
      <c r="C84" s="504"/>
      <c r="D84" s="505"/>
      <c r="E84" s="502"/>
      <c r="F84" s="506"/>
      <c r="G84" s="507"/>
      <c r="L84" s="496" t="s">
        <v>693</v>
      </c>
    </row>
    <row r="85" spans="1:12" hidden="1" x14ac:dyDescent="0.25">
      <c r="A85" s="502" t="s">
        <v>694</v>
      </c>
      <c r="B85" s="502"/>
      <c r="C85" s="504"/>
      <c r="D85" s="505"/>
      <c r="E85" s="502"/>
      <c r="F85" s="506"/>
      <c r="G85" s="507"/>
      <c r="L85" s="496" t="s">
        <v>695</v>
      </c>
    </row>
    <row r="86" spans="1:12" hidden="1" x14ac:dyDescent="0.25">
      <c r="A86" s="502" t="s">
        <v>696</v>
      </c>
      <c r="B86" s="502"/>
      <c r="C86" s="504"/>
      <c r="D86" s="505"/>
      <c r="E86" s="502"/>
      <c r="F86" s="506"/>
      <c r="G86" s="507"/>
      <c r="L86" s="496" t="s">
        <v>697</v>
      </c>
    </row>
    <row r="87" spans="1:12" hidden="1" x14ac:dyDescent="0.25">
      <c r="A87" s="502" t="s">
        <v>698</v>
      </c>
      <c r="B87" s="502"/>
      <c r="C87" s="504"/>
      <c r="D87" s="505"/>
      <c r="E87" s="502"/>
      <c r="F87" s="506"/>
      <c r="G87" s="507"/>
      <c r="L87" s="496" t="s">
        <v>699</v>
      </c>
    </row>
    <row r="88" spans="1:12" hidden="1" x14ac:dyDescent="0.25">
      <c r="A88" s="502" t="s">
        <v>700</v>
      </c>
      <c r="B88" s="502"/>
      <c r="C88" s="504"/>
      <c r="D88" s="505"/>
      <c r="E88" s="502"/>
      <c r="F88" s="506"/>
      <c r="G88" s="507"/>
      <c r="L88" s="496" t="s">
        <v>701</v>
      </c>
    </row>
    <row r="89" spans="1:12" hidden="1" x14ac:dyDescent="0.25">
      <c r="A89" s="502" t="s">
        <v>702</v>
      </c>
      <c r="B89" s="502"/>
      <c r="C89" s="504"/>
      <c r="D89" s="505"/>
      <c r="E89" s="502"/>
      <c r="F89" s="506"/>
      <c r="G89" s="507"/>
      <c r="L89" s="496" t="s">
        <v>703</v>
      </c>
    </row>
    <row r="90" spans="1:12" hidden="1" x14ac:dyDescent="0.25">
      <c r="A90" s="502" t="s">
        <v>704</v>
      </c>
      <c r="B90" s="502"/>
      <c r="C90" s="504"/>
      <c r="D90" s="505"/>
      <c r="E90" s="502"/>
      <c r="F90" s="506"/>
      <c r="G90" s="507"/>
      <c r="L90" s="496" t="s">
        <v>705</v>
      </c>
    </row>
    <row r="91" spans="1:12" hidden="1" x14ac:dyDescent="0.25">
      <c r="A91" s="502" t="s">
        <v>706</v>
      </c>
      <c r="B91" s="502"/>
      <c r="C91" s="504"/>
      <c r="D91" s="505"/>
      <c r="E91" s="502"/>
      <c r="F91" s="506"/>
      <c r="G91" s="507"/>
      <c r="L91" s="496" t="s">
        <v>707</v>
      </c>
    </row>
    <row r="92" spans="1:12" hidden="1" x14ac:dyDescent="0.25">
      <c r="A92" s="502" t="s">
        <v>708</v>
      </c>
      <c r="B92" s="502"/>
      <c r="C92" s="504"/>
      <c r="D92" s="505"/>
      <c r="E92" s="502"/>
      <c r="F92" s="506"/>
      <c r="G92" s="507"/>
      <c r="L92" s="496" t="s">
        <v>709</v>
      </c>
    </row>
    <row r="93" spans="1:12" hidden="1" x14ac:dyDescent="0.25">
      <c r="A93" s="502" t="s">
        <v>710</v>
      </c>
      <c r="B93" s="502"/>
      <c r="C93" s="504"/>
      <c r="D93" s="505"/>
      <c r="E93" s="502"/>
      <c r="F93" s="506"/>
      <c r="G93" s="507"/>
      <c r="L93" s="496" t="s">
        <v>711</v>
      </c>
    </row>
    <row r="94" spans="1:12" hidden="1" x14ac:dyDescent="0.25">
      <c r="A94" s="502" t="s">
        <v>712</v>
      </c>
      <c r="B94" s="502"/>
      <c r="C94" s="504"/>
      <c r="D94" s="505"/>
      <c r="E94" s="502"/>
      <c r="F94" s="506"/>
      <c r="G94" s="507"/>
      <c r="L94" s="496" t="s">
        <v>713</v>
      </c>
    </row>
    <row r="95" spans="1:12" hidden="1" x14ac:dyDescent="0.25">
      <c r="A95" s="502" t="s">
        <v>714</v>
      </c>
      <c r="B95" s="502"/>
      <c r="C95" s="504"/>
      <c r="D95" s="505"/>
      <c r="E95" s="502"/>
      <c r="F95" s="506"/>
      <c r="G95" s="507"/>
      <c r="L95" s="496" t="s">
        <v>715</v>
      </c>
    </row>
    <row r="96" spans="1:12" hidden="1" x14ac:dyDescent="0.25">
      <c r="A96" s="502" t="s">
        <v>716</v>
      </c>
      <c r="B96" s="502"/>
      <c r="C96" s="504"/>
      <c r="D96" s="505"/>
      <c r="E96" s="502"/>
      <c r="F96" s="506"/>
      <c r="G96" s="507"/>
      <c r="L96" s="496" t="s">
        <v>717</v>
      </c>
    </row>
    <row r="97" spans="1:12" hidden="1" x14ac:dyDescent="0.25">
      <c r="A97" s="502" t="s">
        <v>718</v>
      </c>
      <c r="B97" s="502"/>
      <c r="C97" s="504"/>
      <c r="D97" s="505"/>
      <c r="E97" s="502"/>
      <c r="F97" s="506"/>
      <c r="G97" s="507"/>
      <c r="L97" s="496" t="s">
        <v>719</v>
      </c>
    </row>
    <row r="98" spans="1:12" hidden="1" x14ac:dyDescent="0.25">
      <c r="A98" s="502" t="s">
        <v>720</v>
      </c>
      <c r="B98" s="502"/>
      <c r="C98" s="504"/>
      <c r="D98" s="505"/>
      <c r="E98" s="502"/>
      <c r="F98" s="506"/>
      <c r="G98" s="507"/>
      <c r="L98" s="496" t="s">
        <v>721</v>
      </c>
    </row>
    <row r="99" spans="1:12" hidden="1" x14ac:dyDescent="0.25">
      <c r="A99" s="502" t="s">
        <v>722</v>
      </c>
      <c r="B99" s="502"/>
      <c r="C99" s="504"/>
      <c r="D99" s="505"/>
      <c r="E99" s="502"/>
      <c r="F99" s="506"/>
      <c r="G99" s="507"/>
      <c r="L99" s="496" t="s">
        <v>723</v>
      </c>
    </row>
  </sheetData>
  <sheetProtection sheet="1" objects="1" scenarios="1"/>
  <mergeCells count="2">
    <mergeCell ref="D4:G4"/>
    <mergeCell ref="D1:E1"/>
  </mergeCells>
  <conditionalFormatting sqref="F10:F24">
    <cfRule type="expression" dxfId="10" priority="2" stopIfTrue="1">
      <formula>AND($B10&lt;&gt;"",$F10="")</formula>
    </cfRule>
  </conditionalFormatting>
  <dataValidations count="9">
    <dataValidation allowBlank="1" showInputMessage="1" showErrorMessage="1" prompt="Enter the primary unit code for Charterwide, Private School, and each school. Only 1 unit code should be entered for each, and a primary unit code can only be used once. Please refer to the USFRCS, page III-E-4 for guidance." sqref="F7" xr:uid="{00000000-0002-0000-0E00-000000000000}"/>
    <dataValidation allowBlank="1" showInputMessage="1" showErrorMessage="1" prompt="Enter the applicable unit code(s) used to code Charterwide, Private Schools, and school expenses. If more than one unit code was used for each, separate each unit code with a comma. For example (100, 101, 102)." sqref="E7:E24" xr:uid="{00000000-0002-0000-0E00-000001000000}"/>
    <dataValidation allowBlank="1" showInputMessage="1" showErrorMessage="1" prompt="Click on this line for detailed instructions." sqref="A1" xr:uid="{00000000-0002-0000-0E00-000002000000}"/>
    <dataValidation allowBlank="1" showInputMessage="1" showErrorMessage="1" prompt="Enter the 100th (or 200th) day student count." sqref="D10:D99" xr:uid="{00000000-0002-0000-0E00-000003000000}"/>
    <dataValidation type="textLength" operator="equal" allowBlank="1" showInputMessage="1" showErrorMessage="1" error="This cell will only accept entries equal to 9 digits." prompt="This cell will only accept entries equal to 9 digits. This number should not contain any slashes, dashes, etc." sqref="C10:C99" xr:uid="{00000000-0002-0000-0E00-000004000000}">
      <formula1>9</formula1>
    </dataValidation>
    <dataValidation allowBlank="1" showInputMessage="1" showErrorMessage="1" prompt="Enter the primary unit code for Districtwide, Private School, CTED (Member Districts) and each school. Only 1 unit code should be entered for each, and a primary unit code can only be used once." sqref="F25:F99" xr:uid="{00000000-0002-0000-0E00-000005000000}"/>
    <dataValidation allowBlank="1" showInputMessage="1" showErrorMessage="1" prompt="Enter the applicable unit code(s) used to code Districtwide, Private Schools, CTED (Member Districts) and school expenditures. If more than one unit code was used for each, separate each unit code with a comma. For example (100, 101, 102)." sqref="E25:E99" xr:uid="{00000000-0002-0000-0E00-000006000000}"/>
    <dataValidation operator="equal" allowBlank="1" showInputMessage="1" showErrorMessage="1" error="This cell will only accept entries equal to 9 digits." sqref="B2 C7" xr:uid="{00000000-0002-0000-0E00-000007000000}"/>
    <dataValidation type="whole" allowBlank="1" showInputMessage="1" showErrorMessage="1" errorTitle="Invalid primary unit code" error="Primary unit code should be a 3 digit number" prompt="Enter the primary unit code for Charterwide, Private School, and each school. Only 1 unit code should be entered for each, and a primary unit code can only be used once. Please refer to the USFRCS, page III-E-4 for guidance." sqref="F8:F24" xr:uid="{00000000-0002-0000-0E00-000008000000}">
      <formula1>100</formula1>
      <formula2>999</formula2>
    </dataValidation>
  </dataValidations>
  <hyperlinks>
    <hyperlink ref="A1" location="School_Listing_Tab" display="Charter name" xr:uid="{00000000-0004-0000-0E00-000000000000}"/>
    <hyperlink ref="D1" location="School_Listing_Tab" display="Instructions" xr:uid="{5BC37BC3-0C44-418C-B4FB-B28E87F53DE0}"/>
  </hyperlinks>
  <pageMargins left="0.7" right="0.7" top="0.75" bottom="0.75" header="0.3" footer="0.3"/>
  <pageSetup scale="55" orientation="landscape" r:id="rId1"/>
  <headerFooter>
    <oddFooter>&amp;LRev. 8/25 Arizona Department of Education and Auditor General&amp;CFY 2025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252-750E-456B-B819-59FA95A19E5D}">
  <sheetPr>
    <pageSetUpPr fitToPage="1"/>
  </sheetPr>
  <dimension ref="A1:C17"/>
  <sheetViews>
    <sheetView showGridLines="0" topLeftCell="A21" workbookViewId="0"/>
  </sheetViews>
  <sheetFormatPr defaultColWidth="9.33203125" defaultRowHeight="63" customHeight="1" x14ac:dyDescent="0.2"/>
  <cols>
    <col min="1" max="1" width="132" customWidth="1"/>
    <col min="2" max="2" width="18.33203125" customWidth="1"/>
    <col min="3" max="3" width="71" hidden="1" customWidth="1"/>
  </cols>
  <sheetData>
    <row r="1" spans="1:3" ht="30" customHeight="1" x14ac:dyDescent="0.2">
      <c r="A1" s="491" t="str">
        <f>IF('Page 2'!J48=0,"",IF(OR(,Alerts!A3&lt;&gt;"",Alerts!A4&lt;&gt;"",Alerts!A5&lt;&gt;"",Alerts!A6&lt;&gt;"",Alerts!A7&lt;&gt;"",Alerts!A8&lt;&gt;"",Alerts!A9&lt;&gt;"",Alerts!A10&lt;&gt;"",Alerts!A11&lt;&gt;"",Alerts!A12&lt;&gt;"",Alerts!A13&lt;&gt;"",Alerts!A14&lt;&gt;"",Alerts!A15&lt;&gt;"",Alerts!A16&lt;&gt;""),"ALERT: The following items need to be addressed before the AFR is submitted",""))</f>
        <v/>
      </c>
    </row>
    <row r="2" spans="1:3" s="8" customFormat="1" ht="93" customHeight="1" x14ac:dyDescent="0.2">
      <c r="A2" s="587"/>
      <c r="B2" s="587"/>
      <c r="C2" s="486"/>
    </row>
    <row r="3" spans="1:3" s="8" customFormat="1" ht="112.5" customHeight="1" x14ac:dyDescent="0.2">
      <c r="A3" s="587" t="str">
        <f>IF('Page 2'!J48=0,"",IF(SUM('Page 3'!F26)+SUM('Page 4'!F17)+SUM('Page 5'!H8)+SUM('Page 5'!H30)&gt;'Page 1'!H30,C3,""))</f>
        <v/>
      </c>
      <c r="B3" s="587" t="str">
        <f>IF(A3="","","Restricted revenues-3200 on page 1 are not complete.")</f>
        <v/>
      </c>
      <c r="C3" s="492" t="s">
        <v>1146</v>
      </c>
    </row>
    <row r="4" spans="1:3" s="8" customFormat="1" ht="63" customHeight="1" x14ac:dyDescent="0.2">
      <c r="A4" s="587" t="str">
        <f>IF('Page 2'!J48=0,"",IF('Page 3'!F28&lt;=0,C4,""))</f>
        <v/>
      </c>
      <c r="B4" s="587" t="str">
        <f>IF(A4="","","Classroom Site Project revenue information on page 3 is not complete.")</f>
        <v/>
      </c>
      <c r="C4" s="492" t="s">
        <v>520</v>
      </c>
    </row>
    <row r="5" spans="1:3" s="8" customFormat="1" ht="78.75" customHeight="1" x14ac:dyDescent="0.2">
      <c r="A5" s="587" t="str">
        <f>IF('Page 2'!J48=0,"",IF('Page 4'!F17&lt;=0,C5,""))</f>
        <v/>
      </c>
      <c r="B5" s="587" t="str">
        <f>IF(A5="","","Instructional Improvement Project revenue on page 4 is not complete.")</f>
        <v/>
      </c>
      <c r="C5" s="492" t="s">
        <v>521</v>
      </c>
    </row>
    <row r="6" spans="1:3" s="8" customFormat="1" ht="55.5" customHeight="1" x14ac:dyDescent="0.2">
      <c r="A6" s="587" t="str">
        <f>IF('Page 2'!J48=0,"",IF(OR('Page 6'!G15="",'Page 6'!G16="",'Page 6'!G17="",'Page 6'!G18="",'Page 6'!G19=""),C6,""))</f>
        <v/>
      </c>
      <c r="B6" s="587" t="str">
        <f>IF(A6="","","Capital acquisition information on page 6, section C is not complete.")</f>
        <v/>
      </c>
      <c r="C6" s="492" t="s">
        <v>1147</v>
      </c>
    </row>
    <row r="7" spans="1:3" s="8" customFormat="1" ht="48.75" customHeight="1" x14ac:dyDescent="0.2">
      <c r="A7" s="587" t="str">
        <f>IF('Page 2'!J48=0,"",IF(OR('Page 6'!G33&lt;=0,'Page 6'!G35&lt;=0,'Page 6'!G34&lt;=0,'Page 6'!G38&lt;=0),C7,""))</f>
        <v/>
      </c>
      <c r="B7" s="587" t="str">
        <f>IF(A7="","","Current expenses on page 6, section E are not complete.")</f>
        <v/>
      </c>
      <c r="C7" s="492" t="s">
        <v>1148</v>
      </c>
    </row>
    <row r="8" spans="1:3" s="8" customFormat="1" ht="70.5" customHeight="1" x14ac:dyDescent="0.2">
      <c r="A8" s="587" t="str">
        <f>IF('Page 2'!J48=0,"",IF((SUM('Page 2'!J11,'Page 2'!J12,'Page 2'!J13,'Page 2'!J15,'Page 2'!J29,'Page 2'!J30,'Page 2'!J31,'Page 2'!J33))&gt;('Page 6'!G35),C8,""))</f>
        <v/>
      </c>
      <c r="B8" s="587" t="str">
        <f>IF(A8="","","Current administration expense on page 6, section E is not complete.")</f>
        <v/>
      </c>
      <c r="C8" s="492" t="s">
        <v>522</v>
      </c>
    </row>
    <row r="9" spans="1:3" s="8" customFormat="1" ht="39.75" customHeight="1" x14ac:dyDescent="0.2">
      <c r="A9" s="587" t="str">
        <f>IF('Page 2'!J48=0,"",IF(SUM('Page 6'!T6:T8)&lt;=0,C9,""))</f>
        <v/>
      </c>
      <c r="B9" s="587" t="str">
        <f>IF(A9="","","Page 6, section F, lines 1-3 are not complete.")</f>
        <v/>
      </c>
      <c r="C9" s="492" t="s">
        <v>523</v>
      </c>
    </row>
    <row r="10" spans="1:3" s="8" customFormat="1" ht="55.5" customHeight="1" x14ac:dyDescent="0.2">
      <c r="A10" s="587" t="str">
        <f>IF('Page 2'!J48=0,"",IF(SUM('Page 6'!M19:T23)&lt;=0,C10,""))</f>
        <v/>
      </c>
      <c r="B10" s="587" t="str">
        <f>IF(A10="","","Teacher salary information on page 6, section G is not complete.")</f>
        <v/>
      </c>
      <c r="C10" s="492" t="s">
        <v>524</v>
      </c>
    </row>
    <row r="11" spans="1:3" s="8" customFormat="1" ht="50.25" customHeight="1" x14ac:dyDescent="0.2">
      <c r="A11" s="587" t="str">
        <f>IF(SUM('Page 6'!T6:T8)=0,"",IF(AND(((SUM('Page 6'!M19:Q24,'Page 6'!T19:T24)/SUM('Page 6'!T6:T8))&gt;10000),(SUM('Page 6'!M19:Q24,'Page 6'!T19:T24)/SUM('Page 6'!T6:T8))&lt;80000),"",C11))</f>
        <v/>
      </c>
      <c r="B11" s="587" t="str">
        <f>IF(A11="","","Teacher FTE and salary information on page 6, sections F and G is not appropriate.")</f>
        <v/>
      </c>
      <c r="C11" s="492" t="s">
        <v>525</v>
      </c>
    </row>
    <row r="12" spans="1:3" s="8" customFormat="1" ht="57" customHeight="1" x14ac:dyDescent="0.2">
      <c r="A12" s="587" t="str">
        <f>IF('Page 2'!J48=0,"",IF(OR('Page 6'!T29="",'Page 6'!T29&lt;10000),C12,""))</f>
        <v/>
      </c>
      <c r="B12" s="587" t="str">
        <f>IF(A12="","","Average teacher salary information on page 6, section H is not complete.")</f>
        <v/>
      </c>
      <c r="C12" s="691" t="s">
        <v>1379</v>
      </c>
    </row>
    <row r="13" spans="1:3" s="8" customFormat="1" ht="84.75" customHeight="1" x14ac:dyDescent="0.2">
      <c r="A13" s="587" t="str">
        <f>IF('Page 2'!J48=0,"",IF(AND('Page 2'!J37&gt;0,'Page 7'!T23&lt;'Page 2'!J37),C13,""))</f>
        <v/>
      </c>
      <c r="B13" s="587" t="str">
        <f>IF(A13="","","Special education program information on page 7 is not complete.")</f>
        <v/>
      </c>
      <c r="C13" s="492" t="s">
        <v>526</v>
      </c>
    </row>
    <row r="14" spans="1:3" s="8" customFormat="1" ht="84.75" customHeight="1" x14ac:dyDescent="0.2">
      <c r="A14" s="587" t="str">
        <f>IF('Page 2'!J48=0,"",IF(OR('Page 9'!E41="",'Page 9'!E42="",'Page 9'!E43="",'Page 9'!E44="",('Page 9'!K23+'Page 9'!K26+SUM('Page 9'!E33:E36))&lt;&gt;(SUM('Page 9'!E41:E44))),C14,""))</f>
        <v/>
      </c>
      <c r="B14" s="587" t="str">
        <f>IF(A14="","","Property disbursement information on page 9 is not complete.")</f>
        <v/>
      </c>
      <c r="C14" s="492" t="s">
        <v>527</v>
      </c>
    </row>
    <row r="15" spans="1:3" s="8" customFormat="1" ht="90" customHeight="1" x14ac:dyDescent="0.2">
      <c r="A15" s="587" t="str">
        <f>IF('Page 2'!J48=0,"",IF((SUM('Page 2'!J48))&gt;(SUM('Page 9'!D23:J23)+SUM('Page 9'!D26:J26)+SUM('Page 9'!D33:D36)+'Page 9'!E48+'Page 9'!E50),C15,""))</f>
        <v/>
      </c>
      <c r="B15" s="587" t="str">
        <f>IF(A15="","","NPEFS information on page 9 is not complete.")</f>
        <v/>
      </c>
      <c r="C15" s="492" t="s">
        <v>528</v>
      </c>
    </row>
    <row r="16" spans="1:3" s="8" customFormat="1" ht="41.25" customHeight="1" x14ac:dyDescent="0.2">
      <c r="A16" s="587" t="str">
        <f>IF('Page 2'!J48=0,"",IF(OR('Page 8'!G25="",'Page 8'!H25="",'Page 8'!I25="",'Page 8'!K25="",'Page 8'!M25=""),C16,""))</f>
        <v/>
      </c>
      <c r="B16" s="587" t="str">
        <f>IF(A16="","","COVID-19 information on page 8, line 19 is not complete.")</f>
        <v/>
      </c>
      <c r="C16" s="492" t="s">
        <v>529</v>
      </c>
    </row>
    <row r="17" spans="1:1" ht="43.5" customHeight="1" x14ac:dyDescent="0.2">
      <c r="A17" s="493"/>
    </row>
  </sheetData>
  <sheetProtection sheet="1" formatCells="0" formatColumns="0" formatRows="0"/>
  <printOptions horizontalCentered="1"/>
  <pageMargins left="0.7" right="0.7" top="0.75" bottom="0.75" header="0.3" footer="0.3"/>
  <pageSetup scale="62" orientation="portrait" r:id="rId1"/>
  <headerFooter>
    <oddFooter>&amp;LRev. 8/25 Arizona Department of Education and Auditor General&amp;CFY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2CBE-2C82-46A1-A9FD-F3420802E110}">
  <sheetPr>
    <pageSetUpPr fitToPage="1"/>
  </sheetPr>
  <dimension ref="A1:Y133"/>
  <sheetViews>
    <sheetView showGridLines="0" zoomScale="90" zoomScaleNormal="90" workbookViewId="0">
      <selection activeCell="G12" sqref="G12"/>
    </sheetView>
  </sheetViews>
  <sheetFormatPr defaultColWidth="9.6640625" defaultRowHeight="15" x14ac:dyDescent="0.25"/>
  <cols>
    <col min="1" max="1" width="63.83203125" style="14" bestFit="1" customWidth="1"/>
    <col min="2" max="2" width="45" style="14" hidden="1" customWidth="1"/>
    <col min="3" max="3" width="38.1640625" style="14" hidden="1" customWidth="1"/>
    <col min="4" max="4" width="38" style="14" hidden="1" customWidth="1"/>
    <col min="5" max="5" width="40.1640625" style="14" hidden="1" customWidth="1"/>
    <col min="6" max="6" width="43" style="14" hidden="1" customWidth="1"/>
    <col min="7" max="7" width="19.6640625" style="770" bestFit="1" customWidth="1"/>
    <col min="8" max="8" width="39.83203125" style="14" bestFit="1" customWidth="1"/>
    <col min="9" max="9" width="20.83203125" style="14" bestFit="1" customWidth="1"/>
    <col min="10" max="10" width="42.33203125" style="14" bestFit="1" customWidth="1"/>
    <col min="11" max="11" width="84.33203125" style="14" bestFit="1" customWidth="1"/>
    <col min="12" max="12" width="9.6640625" style="14" customWidth="1"/>
    <col min="13" max="13" width="58.83203125" style="14" hidden="1" customWidth="1"/>
    <col min="14" max="14" width="55.33203125" style="14" hidden="1" customWidth="1"/>
    <col min="15" max="15" width="45.33203125" style="14" hidden="1" customWidth="1"/>
    <col min="16" max="16" width="90.1640625" style="14" hidden="1" customWidth="1"/>
    <col min="17" max="24" width="9.6640625" style="14" customWidth="1"/>
    <col min="25" max="25" width="21.33203125" style="14" hidden="1" customWidth="1"/>
    <col min="26" max="29" width="9.6640625" style="14" customWidth="1"/>
    <col min="30" max="16384" width="9.6640625" style="14"/>
  </cols>
  <sheetData>
    <row r="1" spans="1:25" ht="48" customHeight="1" x14ac:dyDescent="0.25">
      <c r="A1" s="13" t="s">
        <v>859</v>
      </c>
      <c r="B1" s="13" t="s">
        <v>860</v>
      </c>
      <c r="C1" s="13" t="s">
        <v>861</v>
      </c>
      <c r="D1" s="13" t="s">
        <v>862</v>
      </c>
      <c r="E1" s="13" t="s">
        <v>863</v>
      </c>
      <c r="F1" s="13" t="s">
        <v>864</v>
      </c>
      <c r="G1" s="769" t="s">
        <v>865</v>
      </c>
      <c r="H1" s="13" t="s">
        <v>866</v>
      </c>
      <c r="I1" s="13" t="s">
        <v>867</v>
      </c>
      <c r="J1" s="13" t="s">
        <v>868</v>
      </c>
      <c r="K1" s="13" t="s">
        <v>869</v>
      </c>
      <c r="L1" s="13" t="s">
        <v>870</v>
      </c>
      <c r="M1" s="22" t="s">
        <v>871</v>
      </c>
      <c r="N1" s="22" t="s">
        <v>872</v>
      </c>
      <c r="O1" s="22" t="s">
        <v>873</v>
      </c>
      <c r="P1" s="22" t="s">
        <v>874</v>
      </c>
    </row>
    <row r="2" spans="1:25" ht="14.25" customHeight="1" x14ac:dyDescent="0.25">
      <c r="A2" s="15" t="s">
        <v>1397</v>
      </c>
      <c r="B2" s="15"/>
      <c r="C2" s="15"/>
      <c r="D2" s="15"/>
      <c r="E2" s="15"/>
      <c r="F2" s="16"/>
      <c r="G2" s="21">
        <v>-4383839.08</v>
      </c>
      <c r="H2" s="15" t="s">
        <v>876</v>
      </c>
      <c r="I2" s="15" t="s">
        <v>21</v>
      </c>
      <c r="J2" s="15" t="s">
        <v>21</v>
      </c>
      <c r="K2" s="15" t="s">
        <v>965</v>
      </c>
      <c r="L2" s="15" t="s">
        <v>21</v>
      </c>
      <c r="Y2" s="14" t="s">
        <v>875</v>
      </c>
    </row>
    <row r="3" spans="1:25" ht="14.25" customHeight="1" x14ac:dyDescent="0.25">
      <c r="A3" s="15" t="s">
        <v>1398</v>
      </c>
      <c r="B3" s="15"/>
      <c r="C3" s="15"/>
      <c r="D3" s="15"/>
      <c r="E3" s="15"/>
      <c r="F3" s="16"/>
      <c r="G3" s="21">
        <v>-495371.57</v>
      </c>
      <c r="H3" s="15" t="s">
        <v>877</v>
      </c>
      <c r="I3" s="15" t="s">
        <v>21</v>
      </c>
      <c r="J3" s="15" t="s">
        <v>21</v>
      </c>
      <c r="K3" s="15" t="s">
        <v>969</v>
      </c>
      <c r="L3" s="15" t="s">
        <v>21</v>
      </c>
      <c r="M3" s="17" t="s">
        <v>876</v>
      </c>
      <c r="N3" s="23" t="s">
        <v>875</v>
      </c>
      <c r="O3" s="23" t="s">
        <v>875</v>
      </c>
      <c r="P3" s="23" t="s">
        <v>875</v>
      </c>
      <c r="Y3" s="14" t="s">
        <v>21</v>
      </c>
    </row>
    <row r="4" spans="1:25" ht="14.25" customHeight="1" x14ac:dyDescent="0.25">
      <c r="A4" s="15" t="s">
        <v>1399</v>
      </c>
      <c r="B4" s="15"/>
      <c r="C4" s="15"/>
      <c r="D4" s="15"/>
      <c r="E4" s="15"/>
      <c r="F4" s="16"/>
      <c r="G4" s="21">
        <v>-33729.42</v>
      </c>
      <c r="H4" s="15" t="s">
        <v>879</v>
      </c>
      <c r="I4" s="15" t="s">
        <v>21</v>
      </c>
      <c r="J4" s="15" t="s">
        <v>21</v>
      </c>
      <c r="K4" s="15" t="s">
        <v>969</v>
      </c>
      <c r="L4" s="15" t="s">
        <v>21</v>
      </c>
      <c r="M4" s="23" t="s">
        <v>877</v>
      </c>
      <c r="N4" s="23" t="s">
        <v>21</v>
      </c>
      <c r="O4" s="23" t="s">
        <v>21</v>
      </c>
      <c r="P4" s="23" t="s">
        <v>878</v>
      </c>
      <c r="Y4" s="14">
        <f>'School listing'!F7</f>
        <v>0</v>
      </c>
    </row>
    <row r="5" spans="1:25" ht="14.25" customHeight="1" x14ac:dyDescent="0.25">
      <c r="A5" s="26" t="s">
        <v>1400</v>
      </c>
      <c r="B5" s="26"/>
      <c r="C5" s="26"/>
      <c r="D5" s="26"/>
      <c r="E5" s="26"/>
      <c r="F5" s="26"/>
      <c r="G5" s="21">
        <v>-35546.410000000003</v>
      </c>
      <c r="H5" s="26" t="s">
        <v>876</v>
      </c>
      <c r="I5" s="15" t="s">
        <v>21</v>
      </c>
      <c r="J5" s="15" t="s">
        <v>21</v>
      </c>
      <c r="K5" s="15" t="s">
        <v>967</v>
      </c>
      <c r="L5" s="15" t="s">
        <v>21</v>
      </c>
      <c r="M5" s="23" t="s">
        <v>879</v>
      </c>
      <c r="N5" s="23" t="s">
        <v>880</v>
      </c>
      <c r="O5" s="23" t="s">
        <v>881</v>
      </c>
      <c r="P5" s="23" t="s">
        <v>882</v>
      </c>
      <c r="Y5" s="14">
        <f>'School listing'!F8</f>
        <v>0</v>
      </c>
    </row>
    <row r="6" spans="1:25" ht="14.25" customHeight="1" x14ac:dyDescent="0.25">
      <c r="A6" s="15" t="s">
        <v>1401</v>
      </c>
      <c r="B6" s="15"/>
      <c r="C6" s="15"/>
      <c r="D6" s="15"/>
      <c r="E6" s="15"/>
      <c r="F6" s="16"/>
      <c r="G6" s="21">
        <v>-36449.08</v>
      </c>
      <c r="H6" s="15" t="s">
        <v>876</v>
      </c>
      <c r="I6" s="15" t="s">
        <v>21</v>
      </c>
      <c r="J6" s="15" t="s">
        <v>21</v>
      </c>
      <c r="K6" s="15" t="s">
        <v>967</v>
      </c>
      <c r="L6" s="15" t="s">
        <v>21</v>
      </c>
      <c r="M6" s="23" t="s">
        <v>883</v>
      </c>
      <c r="N6" s="23" t="s">
        <v>884</v>
      </c>
      <c r="O6" s="23" t="s">
        <v>885</v>
      </c>
      <c r="P6" s="23" t="s">
        <v>886</v>
      </c>
      <c r="Y6" s="14">
        <f>'School listing'!F9</f>
        <v>0</v>
      </c>
    </row>
    <row r="7" spans="1:25" ht="14.25" customHeight="1" x14ac:dyDescent="0.25">
      <c r="A7" s="15" t="s">
        <v>1402</v>
      </c>
      <c r="B7" s="15"/>
      <c r="C7" s="15"/>
      <c r="D7" s="15"/>
      <c r="E7" s="15"/>
      <c r="F7" s="16"/>
      <c r="G7" s="21">
        <v>-38024.81</v>
      </c>
      <c r="H7" s="15" t="s">
        <v>954</v>
      </c>
      <c r="I7" s="15" t="s">
        <v>21</v>
      </c>
      <c r="J7" s="15" t="s">
        <v>21</v>
      </c>
      <c r="K7" s="15" t="s">
        <v>976</v>
      </c>
      <c r="L7" s="15" t="s">
        <v>21</v>
      </c>
      <c r="M7" s="23" t="s">
        <v>887</v>
      </c>
      <c r="N7" s="24" t="s">
        <v>888</v>
      </c>
      <c r="O7" s="23" t="s">
        <v>889</v>
      </c>
      <c r="P7" s="23" t="s">
        <v>890</v>
      </c>
      <c r="Y7" s="14">
        <f>'School listing'!F10</f>
        <v>101</v>
      </c>
    </row>
    <row r="8" spans="1:25" ht="14.25" customHeight="1" x14ac:dyDescent="0.25">
      <c r="A8" s="15" t="s">
        <v>1403</v>
      </c>
      <c r="B8" s="15"/>
      <c r="C8" s="15"/>
      <c r="D8" s="15"/>
      <c r="E8" s="15"/>
      <c r="F8" s="16"/>
      <c r="G8" s="21"/>
      <c r="H8" s="15" t="s">
        <v>981</v>
      </c>
      <c r="I8" s="15" t="s">
        <v>21</v>
      </c>
      <c r="J8" s="15" t="s">
        <v>21</v>
      </c>
      <c r="K8" s="15" t="s">
        <v>969</v>
      </c>
      <c r="L8" s="15" t="s">
        <v>21</v>
      </c>
      <c r="M8" s="23" t="s">
        <v>891</v>
      </c>
      <c r="N8" s="24" t="s">
        <v>892</v>
      </c>
      <c r="O8" s="23" t="s">
        <v>893</v>
      </c>
      <c r="P8" s="23" t="s">
        <v>894</v>
      </c>
      <c r="Y8" s="14">
        <f>'School listing'!F11</f>
        <v>0</v>
      </c>
    </row>
    <row r="9" spans="1:25" ht="14.25" customHeight="1" x14ac:dyDescent="0.25">
      <c r="A9" s="14" t="s">
        <v>1404</v>
      </c>
      <c r="B9" s="15"/>
      <c r="C9" s="20"/>
      <c r="D9" s="15"/>
      <c r="E9" s="15"/>
      <c r="F9" s="16"/>
      <c r="G9" s="21">
        <v>-42631.01</v>
      </c>
      <c r="H9" s="15" t="s">
        <v>981</v>
      </c>
      <c r="I9" s="15" t="s">
        <v>21</v>
      </c>
      <c r="J9" s="15" t="s">
        <v>21</v>
      </c>
      <c r="K9" s="15" t="s">
        <v>969</v>
      </c>
      <c r="L9" s="15" t="s">
        <v>21</v>
      </c>
      <c r="M9" s="23" t="s">
        <v>895</v>
      </c>
      <c r="N9" s="24" t="s">
        <v>896</v>
      </c>
      <c r="O9" s="23" t="s">
        <v>897</v>
      </c>
      <c r="P9" s="23" t="s">
        <v>898</v>
      </c>
      <c r="Y9" s="14">
        <f>'School listing'!F12</f>
        <v>0</v>
      </c>
    </row>
    <row r="10" spans="1:25" x14ac:dyDescent="0.25">
      <c r="A10" s="14" t="s">
        <v>1405</v>
      </c>
      <c r="F10" s="18"/>
      <c r="G10" s="21"/>
      <c r="H10" s="15" t="s">
        <v>876</v>
      </c>
      <c r="I10" s="15" t="s">
        <v>21</v>
      </c>
      <c r="J10" s="15" t="s">
        <v>21</v>
      </c>
      <c r="K10" s="15" t="s">
        <v>1292</v>
      </c>
      <c r="L10" s="15" t="s">
        <v>21</v>
      </c>
      <c r="M10" s="23" t="s">
        <v>899</v>
      </c>
      <c r="N10" s="23" t="s">
        <v>900</v>
      </c>
      <c r="O10" s="23" t="s">
        <v>901</v>
      </c>
      <c r="P10" s="23" t="s">
        <v>902</v>
      </c>
      <c r="Y10" s="14">
        <f>'School listing'!F13</f>
        <v>0</v>
      </c>
    </row>
    <row r="11" spans="1:25" x14ac:dyDescent="0.25">
      <c r="A11" s="14" t="s">
        <v>1406</v>
      </c>
      <c r="G11" s="21"/>
      <c r="H11" s="15" t="s">
        <v>876</v>
      </c>
      <c r="I11" s="15" t="s">
        <v>880</v>
      </c>
      <c r="J11" s="15" t="s">
        <v>881</v>
      </c>
      <c r="K11" s="15" t="s">
        <v>878</v>
      </c>
      <c r="L11" s="15">
        <v>101</v>
      </c>
      <c r="M11" s="23" t="s">
        <v>903</v>
      </c>
      <c r="N11" s="24" t="s">
        <v>904</v>
      </c>
      <c r="O11" s="23" t="s">
        <v>905</v>
      </c>
      <c r="P11" s="23" t="s">
        <v>906</v>
      </c>
      <c r="Y11" s="14">
        <f>'School listing'!F14</f>
        <v>0</v>
      </c>
    </row>
    <row r="12" spans="1:25" x14ac:dyDescent="0.25">
      <c r="A12" s="14" t="s">
        <v>1407</v>
      </c>
      <c r="G12" s="21"/>
      <c r="H12" s="15" t="s">
        <v>876</v>
      </c>
      <c r="I12" s="15" t="s">
        <v>880</v>
      </c>
      <c r="J12" s="15" t="s">
        <v>881</v>
      </c>
      <c r="K12" s="15" t="s">
        <v>878</v>
      </c>
      <c r="L12" s="15">
        <v>101</v>
      </c>
      <c r="M12" s="23" t="s">
        <v>907</v>
      </c>
      <c r="N12" s="24" t="s">
        <v>908</v>
      </c>
      <c r="O12" s="23" t="s">
        <v>909</v>
      </c>
      <c r="P12" s="23" t="s">
        <v>910</v>
      </c>
      <c r="Y12" s="14">
        <f>'School listing'!F15</f>
        <v>0</v>
      </c>
    </row>
    <row r="13" spans="1:25" x14ac:dyDescent="0.25">
      <c r="A13" s="14" t="s">
        <v>1408</v>
      </c>
      <c r="G13" s="21"/>
      <c r="H13" s="15" t="s">
        <v>876</v>
      </c>
      <c r="I13" s="15" t="s">
        <v>880</v>
      </c>
      <c r="J13" s="15" t="s">
        <v>885</v>
      </c>
      <c r="K13" s="15" t="s">
        <v>878</v>
      </c>
      <c r="L13" s="15">
        <v>101</v>
      </c>
      <c r="M13" s="23" t="s">
        <v>911</v>
      </c>
      <c r="N13" s="23" t="s">
        <v>912</v>
      </c>
      <c r="O13" s="23" t="s">
        <v>913</v>
      </c>
      <c r="P13" s="23" t="s">
        <v>914</v>
      </c>
      <c r="Y13" s="14">
        <f>'School listing'!F16</f>
        <v>0</v>
      </c>
    </row>
    <row r="14" spans="1:25" x14ac:dyDescent="0.25">
      <c r="A14" s="14" t="s">
        <v>1409</v>
      </c>
      <c r="G14" s="21"/>
      <c r="H14" s="15" t="s">
        <v>876</v>
      </c>
      <c r="I14" s="15" t="s">
        <v>880</v>
      </c>
      <c r="J14" s="15" t="s">
        <v>881</v>
      </c>
      <c r="K14" s="15" t="s">
        <v>882</v>
      </c>
      <c r="L14" s="15">
        <v>101</v>
      </c>
      <c r="M14" s="23" t="s">
        <v>915</v>
      </c>
      <c r="N14" s="23" t="s">
        <v>916</v>
      </c>
      <c r="O14" s="23" t="s">
        <v>917</v>
      </c>
      <c r="P14" s="23" t="s">
        <v>918</v>
      </c>
      <c r="Y14" s="14">
        <f>'School listing'!F17</f>
        <v>0</v>
      </c>
    </row>
    <row r="15" spans="1:25" x14ac:dyDescent="0.25">
      <c r="A15" s="14" t="s">
        <v>1410</v>
      </c>
      <c r="G15" s="21"/>
      <c r="H15" s="15" t="s">
        <v>876</v>
      </c>
      <c r="I15" s="15" t="s">
        <v>880</v>
      </c>
      <c r="J15" s="15" t="s">
        <v>881</v>
      </c>
      <c r="K15" s="15" t="s">
        <v>882</v>
      </c>
      <c r="L15" s="15">
        <v>101</v>
      </c>
      <c r="M15" s="23" t="s">
        <v>919</v>
      </c>
      <c r="N15" s="23" t="s">
        <v>920</v>
      </c>
      <c r="O15" s="23" t="s">
        <v>921</v>
      </c>
      <c r="P15" s="25" t="s">
        <v>922</v>
      </c>
      <c r="Y15" s="14">
        <f>'School listing'!F18</f>
        <v>0</v>
      </c>
    </row>
    <row r="16" spans="1:25" x14ac:dyDescent="0.25">
      <c r="A16" s="14" t="s">
        <v>1411</v>
      </c>
      <c r="B16" s="19"/>
      <c r="G16" s="21">
        <v>36640</v>
      </c>
      <c r="H16" s="15" t="s">
        <v>954</v>
      </c>
      <c r="I16" s="15" t="s">
        <v>880</v>
      </c>
      <c r="J16" s="15" t="s">
        <v>881</v>
      </c>
      <c r="K16" s="15" t="s">
        <v>886</v>
      </c>
      <c r="L16" s="15">
        <v>101</v>
      </c>
      <c r="M16" s="23" t="s">
        <v>923</v>
      </c>
      <c r="N16" s="23" t="s">
        <v>924</v>
      </c>
      <c r="O16" s="23" t="s">
        <v>925</v>
      </c>
      <c r="P16" s="25" t="s">
        <v>926</v>
      </c>
      <c r="Y16" s="14">
        <f>'School listing'!F19</f>
        <v>0</v>
      </c>
    </row>
    <row r="17" spans="1:25" x14ac:dyDescent="0.25">
      <c r="A17" s="14" t="s">
        <v>1412</v>
      </c>
      <c r="B17" s="19"/>
      <c r="G17" s="21">
        <v>1042562</v>
      </c>
      <c r="H17" s="15" t="s">
        <v>876</v>
      </c>
      <c r="I17" s="15" t="s">
        <v>880</v>
      </c>
      <c r="J17" s="15" t="s">
        <v>881</v>
      </c>
      <c r="K17" s="15" t="s">
        <v>886</v>
      </c>
      <c r="L17" s="15">
        <v>101</v>
      </c>
      <c r="M17" s="23" t="s">
        <v>927</v>
      </c>
      <c r="N17" s="23" t="s">
        <v>928</v>
      </c>
      <c r="O17" s="23" t="s">
        <v>929</v>
      </c>
      <c r="P17" s="25" t="s">
        <v>930</v>
      </c>
      <c r="Y17" s="14">
        <f>'School listing'!F20</f>
        <v>0</v>
      </c>
    </row>
    <row r="18" spans="1:25" x14ac:dyDescent="0.25">
      <c r="A18" s="14" t="s">
        <v>1413</v>
      </c>
      <c r="B18" s="19"/>
      <c r="G18" s="21"/>
      <c r="H18" s="15" t="s">
        <v>876</v>
      </c>
      <c r="I18" s="15" t="s">
        <v>880</v>
      </c>
      <c r="J18" s="15" t="s">
        <v>889</v>
      </c>
      <c r="K18" s="15" t="s">
        <v>878</v>
      </c>
      <c r="L18" s="15">
        <v>101</v>
      </c>
      <c r="M18" s="23" t="s">
        <v>931</v>
      </c>
      <c r="N18" s="23" t="s">
        <v>932</v>
      </c>
      <c r="O18" s="23" t="s">
        <v>933</v>
      </c>
      <c r="P18" s="25" t="s">
        <v>934</v>
      </c>
      <c r="Y18" s="14">
        <f>'School listing'!F21</f>
        <v>0</v>
      </c>
    </row>
    <row r="19" spans="1:25" x14ac:dyDescent="0.25">
      <c r="A19" s="14" t="s">
        <v>1414</v>
      </c>
      <c r="G19" s="21">
        <v>127057.56</v>
      </c>
      <c r="H19" s="15" t="s">
        <v>876</v>
      </c>
      <c r="I19" s="15" t="s">
        <v>880</v>
      </c>
      <c r="J19" s="15" t="s">
        <v>889</v>
      </c>
      <c r="K19" s="15" t="s">
        <v>886</v>
      </c>
      <c r="L19" s="15">
        <v>101</v>
      </c>
      <c r="M19" s="23" t="s">
        <v>935</v>
      </c>
      <c r="N19" s="23" t="s">
        <v>936</v>
      </c>
      <c r="O19" s="23" t="s">
        <v>937</v>
      </c>
      <c r="P19" s="25" t="s">
        <v>938</v>
      </c>
      <c r="Y19" s="14">
        <f>'School listing'!F22</f>
        <v>0</v>
      </c>
    </row>
    <row r="20" spans="1:25" x14ac:dyDescent="0.25">
      <c r="A20" s="14" t="s">
        <v>1415</v>
      </c>
      <c r="G20" s="21"/>
      <c r="H20" s="15" t="s">
        <v>876</v>
      </c>
      <c r="I20" s="15" t="s">
        <v>880</v>
      </c>
      <c r="J20" s="15" t="s">
        <v>889</v>
      </c>
      <c r="K20" s="15" t="s">
        <v>878</v>
      </c>
      <c r="L20" s="15">
        <v>101</v>
      </c>
      <c r="M20" s="23" t="s">
        <v>939</v>
      </c>
      <c r="N20" s="23" t="s">
        <v>940</v>
      </c>
      <c r="O20" s="23" t="s">
        <v>941</v>
      </c>
      <c r="P20" s="25" t="s">
        <v>942</v>
      </c>
      <c r="Y20" s="14">
        <f>'School listing'!F23</f>
        <v>0</v>
      </c>
    </row>
    <row r="21" spans="1:25" x14ac:dyDescent="0.25">
      <c r="A21" s="14" t="s">
        <v>1416</v>
      </c>
      <c r="G21" s="21"/>
      <c r="H21" s="15"/>
      <c r="I21" s="15"/>
      <c r="J21" s="15"/>
      <c r="K21" s="15"/>
      <c r="L21" s="15"/>
      <c r="M21" s="23" t="s">
        <v>943</v>
      </c>
      <c r="N21" s="23" t="s">
        <v>944</v>
      </c>
      <c r="O21" s="23" t="s">
        <v>945</v>
      </c>
      <c r="P21" s="25" t="s">
        <v>946</v>
      </c>
      <c r="Y21" s="14">
        <f>'School listing'!F24</f>
        <v>0</v>
      </c>
    </row>
    <row r="22" spans="1:25" x14ac:dyDescent="0.25">
      <c r="A22" s="14" t="s">
        <v>1417</v>
      </c>
      <c r="G22" s="21">
        <v>31394.2</v>
      </c>
      <c r="H22" s="15" t="s">
        <v>876</v>
      </c>
      <c r="I22" s="15" t="s">
        <v>880</v>
      </c>
      <c r="J22" s="15" t="s">
        <v>889</v>
      </c>
      <c r="K22" s="15" t="s">
        <v>886</v>
      </c>
      <c r="L22" s="15">
        <v>101</v>
      </c>
      <c r="M22" s="23" t="s">
        <v>947</v>
      </c>
      <c r="P22" s="25" t="s">
        <v>948</v>
      </c>
    </row>
    <row r="23" spans="1:25" x14ac:dyDescent="0.25">
      <c r="A23" s="14" t="s">
        <v>1418</v>
      </c>
      <c r="G23" s="21"/>
      <c r="H23" s="15"/>
      <c r="I23" s="15"/>
      <c r="J23" s="15"/>
      <c r="K23" s="15"/>
      <c r="L23" s="15"/>
      <c r="M23" s="23" t="s">
        <v>949</v>
      </c>
      <c r="P23" s="25" t="s">
        <v>950</v>
      </c>
    </row>
    <row r="24" spans="1:25" x14ac:dyDescent="0.25">
      <c r="A24" s="14" t="s">
        <v>1419</v>
      </c>
      <c r="G24" s="21"/>
      <c r="H24" s="15"/>
      <c r="I24" s="15"/>
      <c r="J24" s="15"/>
      <c r="K24" s="15"/>
      <c r="L24" s="15"/>
      <c r="M24" s="23" t="s">
        <v>951</v>
      </c>
      <c r="P24" s="25" t="s">
        <v>952</v>
      </c>
    </row>
    <row r="25" spans="1:25" x14ac:dyDescent="0.25">
      <c r="A25" s="14" t="s">
        <v>1420</v>
      </c>
      <c r="G25" s="21"/>
      <c r="H25" s="15"/>
      <c r="I25" s="15"/>
      <c r="J25" s="15"/>
      <c r="K25" s="15"/>
      <c r="L25" s="15"/>
      <c r="M25" s="23" t="s">
        <v>953</v>
      </c>
      <c r="P25" s="669" t="s">
        <v>1292</v>
      </c>
    </row>
    <row r="26" spans="1:25" x14ac:dyDescent="0.25">
      <c r="A26" s="14" t="s">
        <v>1421</v>
      </c>
      <c r="G26" s="21">
        <v>10059.379999999999</v>
      </c>
      <c r="H26" s="15" t="s">
        <v>876</v>
      </c>
      <c r="I26" s="15" t="s">
        <v>880</v>
      </c>
      <c r="J26" s="15" t="s">
        <v>897</v>
      </c>
      <c r="K26" s="15" t="s">
        <v>878</v>
      </c>
      <c r="L26" s="15">
        <v>101</v>
      </c>
      <c r="M26" s="23" t="s">
        <v>954</v>
      </c>
      <c r="P26" s="659" t="s">
        <v>1283</v>
      </c>
    </row>
    <row r="27" spans="1:25" x14ac:dyDescent="0.25">
      <c r="A27" s="14" t="s">
        <v>1422</v>
      </c>
      <c r="G27" s="21">
        <v>27053.08</v>
      </c>
      <c r="H27" s="15" t="s">
        <v>876</v>
      </c>
      <c r="I27" s="15" t="s">
        <v>880</v>
      </c>
      <c r="J27" s="15" t="s">
        <v>897</v>
      </c>
      <c r="K27" s="15" t="s">
        <v>886</v>
      </c>
      <c r="L27" s="15">
        <v>101</v>
      </c>
      <c r="M27" s="23" t="s">
        <v>956</v>
      </c>
      <c r="P27" s="25" t="s">
        <v>955</v>
      </c>
    </row>
    <row r="28" spans="1:25" x14ac:dyDescent="0.25">
      <c r="A28" s="14" t="s">
        <v>1423</v>
      </c>
      <c r="G28" s="21">
        <v>15311.4</v>
      </c>
      <c r="H28" s="15" t="s">
        <v>876</v>
      </c>
      <c r="I28" s="15" t="s">
        <v>880</v>
      </c>
      <c r="J28" s="15" t="s">
        <v>897</v>
      </c>
      <c r="K28" s="15" t="s">
        <v>882</v>
      </c>
      <c r="L28" s="15">
        <v>101</v>
      </c>
      <c r="M28" s="23" t="s">
        <v>958</v>
      </c>
      <c r="P28" s="659" t="s">
        <v>1284</v>
      </c>
    </row>
    <row r="29" spans="1:25" x14ac:dyDescent="0.25">
      <c r="A29" s="14" t="s">
        <v>1424</v>
      </c>
      <c r="G29" s="21">
        <v>2003.83</v>
      </c>
      <c r="H29" s="15" t="s">
        <v>876</v>
      </c>
      <c r="I29" s="15" t="s">
        <v>880</v>
      </c>
      <c r="J29" s="15" t="s">
        <v>897</v>
      </c>
      <c r="K29" s="15" t="s">
        <v>882</v>
      </c>
      <c r="L29" s="15">
        <v>101</v>
      </c>
      <c r="M29" s="23" t="s">
        <v>960</v>
      </c>
      <c r="P29" s="659" t="s">
        <v>1285</v>
      </c>
    </row>
    <row r="30" spans="1:25" x14ac:dyDescent="0.25">
      <c r="A30" s="14" t="s">
        <v>1425</v>
      </c>
      <c r="G30" s="21">
        <v>64470.48</v>
      </c>
      <c r="H30" s="15" t="s">
        <v>876</v>
      </c>
      <c r="I30" s="15" t="s">
        <v>880</v>
      </c>
      <c r="J30" s="15" t="s">
        <v>905</v>
      </c>
      <c r="K30" s="15" t="s">
        <v>878</v>
      </c>
      <c r="L30" s="15">
        <v>101</v>
      </c>
      <c r="M30" s="23" t="s">
        <v>962</v>
      </c>
      <c r="P30" s="25" t="s">
        <v>957</v>
      </c>
    </row>
    <row r="31" spans="1:25" x14ac:dyDescent="0.25">
      <c r="A31" s="14" t="s">
        <v>1426</v>
      </c>
      <c r="G31" s="21">
        <v>15956.21</v>
      </c>
      <c r="H31" s="15" t="s">
        <v>876</v>
      </c>
      <c r="I31" s="15" t="s">
        <v>880</v>
      </c>
      <c r="J31" s="15" t="s">
        <v>905</v>
      </c>
      <c r="K31" s="15" t="s">
        <v>882</v>
      </c>
      <c r="L31" s="15">
        <v>101</v>
      </c>
      <c r="M31" s="23" t="s">
        <v>964</v>
      </c>
      <c r="P31" s="25" t="s">
        <v>959</v>
      </c>
    </row>
    <row r="32" spans="1:25" x14ac:dyDescent="0.25">
      <c r="A32" s="14" t="s">
        <v>1427</v>
      </c>
      <c r="G32" s="21">
        <v>12842.52</v>
      </c>
      <c r="H32" s="15" t="s">
        <v>876</v>
      </c>
      <c r="I32" s="15" t="s">
        <v>880</v>
      </c>
      <c r="J32" s="15" t="s">
        <v>905</v>
      </c>
      <c r="K32" s="15" t="s">
        <v>882</v>
      </c>
      <c r="L32" s="15">
        <v>101</v>
      </c>
      <c r="M32" s="23" t="s">
        <v>966</v>
      </c>
      <c r="P32" s="25" t="s">
        <v>961</v>
      </c>
    </row>
    <row r="33" spans="1:16" x14ac:dyDescent="0.25">
      <c r="A33" s="14" t="s">
        <v>1428</v>
      </c>
      <c r="G33" s="21"/>
      <c r="H33" s="15"/>
      <c r="I33" s="15"/>
      <c r="J33" s="15"/>
      <c r="K33" s="15"/>
      <c r="L33" s="15"/>
      <c r="M33" s="23" t="s">
        <v>968</v>
      </c>
      <c r="P33" s="25" t="s">
        <v>963</v>
      </c>
    </row>
    <row r="34" spans="1:16" x14ac:dyDescent="0.25">
      <c r="A34" s="14" t="s">
        <v>1429</v>
      </c>
      <c r="G34" s="21"/>
      <c r="H34" s="15"/>
      <c r="I34" s="15"/>
      <c r="J34" s="15"/>
      <c r="K34" s="15"/>
      <c r="L34" s="15"/>
      <c r="M34" s="23" t="s">
        <v>970</v>
      </c>
      <c r="P34" s="25" t="s">
        <v>965</v>
      </c>
    </row>
    <row r="35" spans="1:16" x14ac:dyDescent="0.25">
      <c r="A35" s="14" t="s">
        <v>1430</v>
      </c>
      <c r="G35" s="21">
        <v>56843.37</v>
      </c>
      <c r="H35" s="15" t="s">
        <v>876</v>
      </c>
      <c r="I35" s="15" t="s">
        <v>880</v>
      </c>
      <c r="J35" s="15" t="s">
        <v>909</v>
      </c>
      <c r="K35" s="15" t="s">
        <v>878</v>
      </c>
      <c r="L35" s="15">
        <v>101</v>
      </c>
      <c r="M35" s="23" t="s">
        <v>972</v>
      </c>
      <c r="P35" s="25" t="s">
        <v>967</v>
      </c>
    </row>
    <row r="36" spans="1:16" x14ac:dyDescent="0.25">
      <c r="A36" s="14" t="s">
        <v>1431</v>
      </c>
      <c r="G36" s="21">
        <v>83033.710000000006</v>
      </c>
      <c r="H36" s="15" t="s">
        <v>876</v>
      </c>
      <c r="I36" s="15" t="s">
        <v>880</v>
      </c>
      <c r="J36" s="15" t="s">
        <v>909</v>
      </c>
      <c r="K36" s="15" t="s">
        <v>886</v>
      </c>
      <c r="L36" s="15">
        <v>101</v>
      </c>
      <c r="M36" s="23" t="s">
        <v>975</v>
      </c>
      <c r="P36" s="25" t="s">
        <v>969</v>
      </c>
    </row>
    <row r="37" spans="1:16" x14ac:dyDescent="0.25">
      <c r="A37" s="14" t="s">
        <v>1432</v>
      </c>
      <c r="G37" s="21">
        <v>11192.22</v>
      </c>
      <c r="H37" s="15" t="s">
        <v>876</v>
      </c>
      <c r="I37" s="15" t="s">
        <v>880</v>
      </c>
      <c r="J37" s="15" t="s">
        <v>909</v>
      </c>
      <c r="K37" s="15" t="s">
        <v>878</v>
      </c>
      <c r="L37" s="15">
        <v>101</v>
      </c>
      <c r="M37" s="23" t="s">
        <v>977</v>
      </c>
      <c r="P37" s="25" t="s">
        <v>971</v>
      </c>
    </row>
    <row r="38" spans="1:16" x14ac:dyDescent="0.25">
      <c r="A38" s="14" t="s">
        <v>1433</v>
      </c>
      <c r="G38" s="21">
        <v>11323.2</v>
      </c>
      <c r="H38" s="15" t="s">
        <v>876</v>
      </c>
      <c r="I38" s="15" t="s">
        <v>880</v>
      </c>
      <c r="J38" s="15" t="s">
        <v>909</v>
      </c>
      <c r="K38" s="15" t="s">
        <v>882</v>
      </c>
      <c r="L38" s="15">
        <v>101</v>
      </c>
      <c r="M38" s="23" t="s">
        <v>979</v>
      </c>
      <c r="P38" s="25" t="s">
        <v>973</v>
      </c>
    </row>
    <row r="39" spans="1:16" x14ac:dyDescent="0.25">
      <c r="A39" s="14" t="s">
        <v>1434</v>
      </c>
      <c r="G39" s="21"/>
      <c r="H39" s="15"/>
      <c r="I39" s="15"/>
      <c r="J39" s="15"/>
      <c r="K39" s="15"/>
      <c r="L39" s="15"/>
      <c r="M39" s="23" t="s">
        <v>981</v>
      </c>
      <c r="P39" s="25" t="s">
        <v>974</v>
      </c>
    </row>
    <row r="40" spans="1:16" x14ac:dyDescent="0.25">
      <c r="A40" s="14" t="s">
        <v>1435</v>
      </c>
      <c r="G40" s="21">
        <v>35292.39</v>
      </c>
      <c r="H40" s="15" t="s">
        <v>876</v>
      </c>
      <c r="I40" s="15" t="s">
        <v>880</v>
      </c>
      <c r="J40" s="15" t="s">
        <v>913</v>
      </c>
      <c r="K40" s="15" t="s">
        <v>878</v>
      </c>
      <c r="L40" s="15">
        <v>101</v>
      </c>
      <c r="M40" s="23" t="s">
        <v>983</v>
      </c>
      <c r="P40" s="25" t="s">
        <v>976</v>
      </c>
    </row>
    <row r="41" spans="1:16" x14ac:dyDescent="0.25">
      <c r="A41" s="14" t="s">
        <v>1436</v>
      </c>
      <c r="G41" s="21">
        <v>160267.54999999999</v>
      </c>
      <c r="H41" s="15" t="s">
        <v>876</v>
      </c>
      <c r="I41" s="15" t="s">
        <v>880</v>
      </c>
      <c r="J41" s="15" t="s">
        <v>913</v>
      </c>
      <c r="K41" s="15" t="s">
        <v>886</v>
      </c>
      <c r="L41" s="15">
        <v>101</v>
      </c>
      <c r="M41" s="23" t="s">
        <v>985</v>
      </c>
      <c r="P41" s="25" t="s">
        <v>978</v>
      </c>
    </row>
    <row r="42" spans="1:16" x14ac:dyDescent="0.25">
      <c r="A42" s="14" t="s">
        <v>1437</v>
      </c>
      <c r="G42" s="770">
        <v>8609.4</v>
      </c>
      <c r="H42" s="14" t="s">
        <v>876</v>
      </c>
      <c r="I42" s="14" t="s">
        <v>880</v>
      </c>
      <c r="J42" s="14" t="s">
        <v>913</v>
      </c>
      <c r="K42" s="14" t="s">
        <v>882</v>
      </c>
      <c r="L42" s="15">
        <v>101</v>
      </c>
      <c r="P42" s="25" t="s">
        <v>980</v>
      </c>
    </row>
    <row r="43" spans="1:16" x14ac:dyDescent="0.25">
      <c r="A43" s="14" t="s">
        <v>1438</v>
      </c>
      <c r="G43" s="770">
        <v>7030.24</v>
      </c>
      <c r="H43" s="14" t="s">
        <v>876</v>
      </c>
      <c r="I43" s="14" t="s">
        <v>880</v>
      </c>
      <c r="J43" s="14" t="s">
        <v>913</v>
      </c>
      <c r="K43" s="14" t="s">
        <v>882</v>
      </c>
      <c r="L43" s="15">
        <v>101</v>
      </c>
      <c r="P43" s="25" t="s">
        <v>982</v>
      </c>
    </row>
    <row r="44" spans="1:16" x14ac:dyDescent="0.25">
      <c r="A44" s="14" t="s">
        <v>1439</v>
      </c>
      <c r="L44" s="15"/>
      <c r="P44" s="25" t="s">
        <v>984</v>
      </c>
    </row>
    <row r="45" spans="1:16" x14ac:dyDescent="0.25">
      <c r="A45" s="14" t="s">
        <v>1440</v>
      </c>
      <c r="G45" s="770">
        <v>35627.230000000003</v>
      </c>
      <c r="H45" s="14" t="s">
        <v>876</v>
      </c>
      <c r="I45" s="14" t="s">
        <v>880</v>
      </c>
      <c r="J45" s="14" t="s">
        <v>917</v>
      </c>
      <c r="K45" s="14" t="s">
        <v>886</v>
      </c>
      <c r="L45" s="15">
        <v>101</v>
      </c>
    </row>
    <row r="46" spans="1:16" x14ac:dyDescent="0.25">
      <c r="A46" s="14" t="s">
        <v>1441</v>
      </c>
    </row>
    <row r="47" spans="1:16" x14ac:dyDescent="0.25">
      <c r="A47" s="14" t="s">
        <v>1442</v>
      </c>
    </row>
    <row r="48" spans="1:16" x14ac:dyDescent="0.25">
      <c r="A48" s="14" t="s">
        <v>1443</v>
      </c>
    </row>
    <row r="49" spans="1:12" x14ac:dyDescent="0.25">
      <c r="A49" s="14" t="s">
        <v>1444</v>
      </c>
      <c r="G49" s="770">
        <v>42722.34</v>
      </c>
      <c r="H49" s="14" t="s">
        <v>876</v>
      </c>
      <c r="I49" s="14" t="s">
        <v>884</v>
      </c>
      <c r="J49" s="14" t="s">
        <v>881</v>
      </c>
      <c r="K49" s="14" t="s">
        <v>886</v>
      </c>
      <c r="L49" s="15">
        <v>101</v>
      </c>
    </row>
    <row r="50" spans="1:12" x14ac:dyDescent="0.25">
      <c r="A50" s="14" t="s">
        <v>1445</v>
      </c>
    </row>
    <row r="51" spans="1:12" x14ac:dyDescent="0.25">
      <c r="A51" s="14" t="s">
        <v>1446</v>
      </c>
    </row>
    <row r="52" spans="1:12" x14ac:dyDescent="0.25">
      <c r="A52" s="14" t="s">
        <v>1447</v>
      </c>
    </row>
    <row r="53" spans="1:12" x14ac:dyDescent="0.25">
      <c r="A53" s="14" t="s">
        <v>1448</v>
      </c>
      <c r="G53" s="770">
        <v>42407.93</v>
      </c>
      <c r="H53" s="14" t="s">
        <v>876</v>
      </c>
      <c r="I53" s="14" t="s">
        <v>884</v>
      </c>
      <c r="J53" s="14" t="s">
        <v>881</v>
      </c>
      <c r="K53" s="14" t="s">
        <v>886</v>
      </c>
      <c r="L53" s="15">
        <v>101</v>
      </c>
    </row>
    <row r="54" spans="1:12" x14ac:dyDescent="0.25">
      <c r="A54" s="14" t="s">
        <v>1449</v>
      </c>
    </row>
    <row r="55" spans="1:12" x14ac:dyDescent="0.25">
      <c r="A55" s="14" t="s">
        <v>1450</v>
      </c>
    </row>
    <row r="56" spans="1:12" x14ac:dyDescent="0.25">
      <c r="A56" s="14" t="s">
        <v>1451</v>
      </c>
    </row>
    <row r="57" spans="1:12" x14ac:dyDescent="0.25">
      <c r="A57" s="14" t="s">
        <v>1452</v>
      </c>
      <c r="G57" s="770">
        <v>23524.85</v>
      </c>
      <c r="H57" s="14" t="s">
        <v>876</v>
      </c>
      <c r="I57" s="14" t="s">
        <v>884</v>
      </c>
      <c r="J57" s="14" t="s">
        <v>889</v>
      </c>
      <c r="K57" s="14" t="s">
        <v>886</v>
      </c>
      <c r="L57" s="15">
        <v>101</v>
      </c>
    </row>
    <row r="58" spans="1:12" x14ac:dyDescent="0.25">
      <c r="A58" s="14" t="s">
        <v>1453</v>
      </c>
    </row>
    <row r="59" spans="1:12" x14ac:dyDescent="0.25">
      <c r="A59" s="14" t="s">
        <v>1454</v>
      </c>
    </row>
    <row r="60" spans="1:12" x14ac:dyDescent="0.25">
      <c r="A60" s="14" t="s">
        <v>1455</v>
      </c>
    </row>
    <row r="61" spans="1:12" x14ac:dyDescent="0.25">
      <c r="A61" s="14" t="s">
        <v>1456</v>
      </c>
      <c r="G61" s="770">
        <v>36428.11</v>
      </c>
      <c r="H61" s="14" t="s">
        <v>876</v>
      </c>
      <c r="I61" s="14" t="s">
        <v>884</v>
      </c>
      <c r="J61" s="14" t="s">
        <v>893</v>
      </c>
      <c r="K61" s="14" t="s">
        <v>886</v>
      </c>
      <c r="L61" s="15">
        <v>101</v>
      </c>
    </row>
    <row r="62" spans="1:12" x14ac:dyDescent="0.25">
      <c r="A62" s="14" t="s">
        <v>1457</v>
      </c>
    </row>
    <row r="63" spans="1:12" x14ac:dyDescent="0.25">
      <c r="A63" s="14" t="s">
        <v>1458</v>
      </c>
    </row>
    <row r="64" spans="1:12" x14ac:dyDescent="0.25">
      <c r="A64" s="14" t="s">
        <v>1459</v>
      </c>
      <c r="G64" s="770">
        <v>193109.95</v>
      </c>
      <c r="H64" s="14" t="s">
        <v>877</v>
      </c>
      <c r="I64" s="14" t="s">
        <v>880</v>
      </c>
      <c r="J64" s="14" t="s">
        <v>881</v>
      </c>
      <c r="K64" s="14" t="s">
        <v>878</v>
      </c>
      <c r="L64" s="15">
        <v>101</v>
      </c>
    </row>
    <row r="65" spans="1:12" x14ac:dyDescent="0.25">
      <c r="A65" s="768" t="s">
        <v>1460</v>
      </c>
      <c r="G65" s="770">
        <v>17893</v>
      </c>
      <c r="H65" s="14" t="s">
        <v>877</v>
      </c>
      <c r="I65" s="14" t="s">
        <v>884</v>
      </c>
      <c r="J65" s="14" t="s">
        <v>881</v>
      </c>
      <c r="K65" s="14" t="s">
        <v>878</v>
      </c>
      <c r="L65" s="15">
        <v>101</v>
      </c>
    </row>
    <row r="66" spans="1:12" x14ac:dyDescent="0.25">
      <c r="A66" s="14" t="s">
        <v>1461</v>
      </c>
      <c r="G66" s="770">
        <v>21781.54</v>
      </c>
      <c r="H66" s="14" t="s">
        <v>877</v>
      </c>
      <c r="I66" s="14" t="s">
        <v>880</v>
      </c>
      <c r="J66" s="14" t="s">
        <v>881</v>
      </c>
      <c r="K66" s="14" t="s">
        <v>882</v>
      </c>
      <c r="L66" s="15">
        <v>101</v>
      </c>
    </row>
    <row r="67" spans="1:12" x14ac:dyDescent="0.25">
      <c r="A67" s="768" t="s">
        <v>1462</v>
      </c>
      <c r="G67" s="770">
        <v>1369</v>
      </c>
      <c r="H67" s="14" t="s">
        <v>877</v>
      </c>
      <c r="I67" s="14" t="s">
        <v>884</v>
      </c>
      <c r="J67" s="14" t="s">
        <v>881</v>
      </c>
      <c r="K67" s="14" t="s">
        <v>882</v>
      </c>
      <c r="L67" s="15">
        <v>101</v>
      </c>
    </row>
    <row r="68" spans="1:12" x14ac:dyDescent="0.25">
      <c r="A68" s="14" t="s">
        <v>1463</v>
      </c>
      <c r="G68" s="770">
        <v>4689.28</v>
      </c>
      <c r="H68" s="14" t="s">
        <v>877</v>
      </c>
      <c r="I68" s="14" t="s">
        <v>880</v>
      </c>
      <c r="J68" s="14" t="s">
        <v>881</v>
      </c>
      <c r="K68" s="14" t="s">
        <v>886</v>
      </c>
      <c r="L68" s="15">
        <v>101</v>
      </c>
    </row>
    <row r="69" spans="1:12" x14ac:dyDescent="0.25">
      <c r="A69" s="768" t="s">
        <v>1464</v>
      </c>
    </row>
    <row r="70" spans="1:12" x14ac:dyDescent="0.25">
      <c r="A70" s="14" t="s">
        <v>1465</v>
      </c>
      <c r="G70" s="770">
        <v>89168.02</v>
      </c>
      <c r="H70" s="14" t="s">
        <v>877</v>
      </c>
      <c r="I70" s="14" t="s">
        <v>880</v>
      </c>
      <c r="J70" s="14" t="s">
        <v>889</v>
      </c>
      <c r="K70" s="14" t="s">
        <v>878</v>
      </c>
      <c r="L70" s="15">
        <v>101</v>
      </c>
    </row>
    <row r="71" spans="1:12" x14ac:dyDescent="0.25">
      <c r="A71" s="768" t="s">
        <v>1466</v>
      </c>
    </row>
    <row r="72" spans="1:12" x14ac:dyDescent="0.25">
      <c r="A72" s="14" t="s">
        <v>1467</v>
      </c>
      <c r="G72" s="770">
        <v>6821.35</v>
      </c>
      <c r="H72" s="14" t="s">
        <v>877</v>
      </c>
      <c r="I72" s="14" t="s">
        <v>880</v>
      </c>
      <c r="J72" s="14" t="s">
        <v>889</v>
      </c>
      <c r="K72" s="14" t="s">
        <v>882</v>
      </c>
      <c r="L72" s="15">
        <v>101</v>
      </c>
    </row>
    <row r="73" spans="1:12" x14ac:dyDescent="0.25">
      <c r="A73" s="768" t="s">
        <v>1468</v>
      </c>
    </row>
    <row r="74" spans="1:12" x14ac:dyDescent="0.25">
      <c r="A74" s="14" t="s">
        <v>1469</v>
      </c>
      <c r="G74" s="770">
        <v>9587.33</v>
      </c>
      <c r="H74" s="14" t="s">
        <v>877</v>
      </c>
      <c r="I74" s="14" t="s">
        <v>880</v>
      </c>
      <c r="J74" s="14" t="s">
        <v>889</v>
      </c>
      <c r="K74" s="14" t="s">
        <v>886</v>
      </c>
      <c r="L74" s="15">
        <v>101</v>
      </c>
    </row>
    <row r="75" spans="1:12" x14ac:dyDescent="0.25">
      <c r="A75" s="768" t="s">
        <v>1470</v>
      </c>
      <c r="G75" s="770">
        <v>14456</v>
      </c>
      <c r="H75" s="14" t="s">
        <v>877</v>
      </c>
      <c r="I75" s="14" t="s">
        <v>884</v>
      </c>
      <c r="J75" s="14" t="s">
        <v>889</v>
      </c>
      <c r="K75" s="14" t="s">
        <v>886</v>
      </c>
      <c r="L75" s="15">
        <v>101</v>
      </c>
    </row>
    <row r="76" spans="1:12" x14ac:dyDescent="0.25">
      <c r="A76" s="14" t="s">
        <v>1471</v>
      </c>
      <c r="G76" s="770">
        <v>93476.160000000003</v>
      </c>
      <c r="H76" s="14" t="s">
        <v>877</v>
      </c>
      <c r="I76" s="14" t="s">
        <v>880</v>
      </c>
      <c r="J76" s="14" t="s">
        <v>893</v>
      </c>
      <c r="K76" s="14" t="s">
        <v>878</v>
      </c>
      <c r="L76" s="15">
        <v>101</v>
      </c>
    </row>
    <row r="77" spans="1:12" x14ac:dyDescent="0.25">
      <c r="A77" s="768" t="s">
        <v>1472</v>
      </c>
      <c r="G77" s="770">
        <v>1720.31</v>
      </c>
      <c r="H77" s="14" t="s">
        <v>877</v>
      </c>
      <c r="I77" s="14" t="s">
        <v>884</v>
      </c>
      <c r="J77" s="14" t="s">
        <v>893</v>
      </c>
      <c r="K77" s="14" t="s">
        <v>878</v>
      </c>
      <c r="L77" s="15">
        <v>101</v>
      </c>
    </row>
    <row r="78" spans="1:12" x14ac:dyDescent="0.25">
      <c r="A78" s="14" t="s">
        <v>1473</v>
      </c>
      <c r="G78" s="770">
        <v>16200.98</v>
      </c>
      <c r="H78" s="14" t="s">
        <v>877</v>
      </c>
      <c r="I78" s="14" t="s">
        <v>880</v>
      </c>
      <c r="J78" s="14" t="s">
        <v>893</v>
      </c>
      <c r="K78" s="14" t="s">
        <v>882</v>
      </c>
      <c r="L78" s="15">
        <v>101</v>
      </c>
    </row>
    <row r="79" spans="1:12" x14ac:dyDescent="0.25">
      <c r="A79" s="768" t="s">
        <v>1474</v>
      </c>
      <c r="G79" s="770">
        <v>131.6</v>
      </c>
      <c r="H79" s="14" t="s">
        <v>877</v>
      </c>
      <c r="I79" s="14" t="s">
        <v>884</v>
      </c>
      <c r="J79" s="14" t="s">
        <v>893</v>
      </c>
      <c r="K79" s="14" t="s">
        <v>882</v>
      </c>
      <c r="L79" s="15">
        <v>101</v>
      </c>
    </row>
    <row r="80" spans="1:12" x14ac:dyDescent="0.25">
      <c r="A80" s="14" t="s">
        <v>1475</v>
      </c>
    </row>
    <row r="81" spans="1:12" x14ac:dyDescent="0.25">
      <c r="A81" s="14" t="s">
        <v>1476</v>
      </c>
    </row>
    <row r="82" spans="1:12" x14ac:dyDescent="0.25">
      <c r="A82" s="14" t="s">
        <v>1477</v>
      </c>
      <c r="G82" s="770">
        <v>20129.759999999998</v>
      </c>
      <c r="H82" s="14" t="s">
        <v>877</v>
      </c>
      <c r="I82" s="14" t="s">
        <v>880</v>
      </c>
      <c r="J82" s="14" t="s">
        <v>893</v>
      </c>
      <c r="K82" s="14" t="s">
        <v>886</v>
      </c>
      <c r="L82" s="15">
        <v>101</v>
      </c>
    </row>
    <row r="83" spans="1:12" x14ac:dyDescent="0.25">
      <c r="A83" s="768" t="s">
        <v>1478</v>
      </c>
    </row>
    <row r="84" spans="1:12" x14ac:dyDescent="0.25">
      <c r="A84" s="14" t="s">
        <v>1479</v>
      </c>
      <c r="G84" s="770">
        <v>33729.42</v>
      </c>
      <c r="H84" s="14" t="s">
        <v>879</v>
      </c>
      <c r="I84" s="14" t="s">
        <v>880</v>
      </c>
      <c r="J84" s="14" t="s">
        <v>893</v>
      </c>
      <c r="K84" s="14" t="s">
        <v>878</v>
      </c>
      <c r="L84" s="15">
        <v>101</v>
      </c>
    </row>
    <row r="85" spans="1:12" x14ac:dyDescent="0.25">
      <c r="A85" s="14" t="s">
        <v>1479</v>
      </c>
    </row>
    <row r="86" spans="1:12" x14ac:dyDescent="0.25">
      <c r="A86" s="14" t="s">
        <v>1480</v>
      </c>
      <c r="G86" s="770">
        <v>51661.04</v>
      </c>
      <c r="H86" s="14" t="s">
        <v>876</v>
      </c>
      <c r="I86" s="14" t="s">
        <v>880</v>
      </c>
      <c r="J86" s="14" t="s">
        <v>913</v>
      </c>
      <c r="K86" s="14" t="s">
        <v>886</v>
      </c>
      <c r="L86" s="15">
        <v>101</v>
      </c>
    </row>
    <row r="87" spans="1:12" x14ac:dyDescent="0.25">
      <c r="A87" s="14" t="s">
        <v>1481</v>
      </c>
    </row>
    <row r="88" spans="1:12" x14ac:dyDescent="0.25">
      <c r="A88" s="14" t="s">
        <v>1482</v>
      </c>
      <c r="G88" s="770">
        <v>4697.37</v>
      </c>
      <c r="H88" s="14" t="s">
        <v>876</v>
      </c>
      <c r="I88" s="14" t="s">
        <v>880</v>
      </c>
      <c r="J88" s="14" t="s">
        <v>913</v>
      </c>
      <c r="K88" s="14" t="s">
        <v>886</v>
      </c>
      <c r="L88" s="15">
        <v>101</v>
      </c>
    </row>
    <row r="89" spans="1:12" x14ac:dyDescent="0.25">
      <c r="A89" s="14" t="s">
        <v>1483</v>
      </c>
      <c r="G89" s="770">
        <v>2893.06</v>
      </c>
      <c r="H89" s="14" t="s">
        <v>876</v>
      </c>
      <c r="I89" s="14" t="s">
        <v>880</v>
      </c>
      <c r="J89" s="14" t="s">
        <v>889</v>
      </c>
      <c r="K89" s="14" t="s">
        <v>886</v>
      </c>
      <c r="L89" s="15">
        <v>101</v>
      </c>
    </row>
    <row r="90" spans="1:12" x14ac:dyDescent="0.25">
      <c r="A90" s="14" t="s">
        <v>1484</v>
      </c>
      <c r="G90" s="770">
        <v>9972.2999999999993</v>
      </c>
      <c r="H90" s="14" t="s">
        <v>876</v>
      </c>
      <c r="I90" s="14" t="s">
        <v>880</v>
      </c>
      <c r="J90" s="14" t="s">
        <v>881</v>
      </c>
      <c r="K90" s="14" t="s">
        <v>886</v>
      </c>
      <c r="L90" s="15">
        <v>101</v>
      </c>
    </row>
    <row r="91" spans="1:12" x14ac:dyDescent="0.25">
      <c r="A91" s="14" t="s">
        <v>1485</v>
      </c>
      <c r="G91" s="770">
        <v>8098.37</v>
      </c>
      <c r="H91" s="14" t="s">
        <v>876</v>
      </c>
      <c r="I91" s="14" t="s">
        <v>880</v>
      </c>
      <c r="J91" s="14" t="s">
        <v>881</v>
      </c>
      <c r="K91" s="14" t="s">
        <v>886</v>
      </c>
      <c r="L91" s="15">
        <v>101</v>
      </c>
    </row>
    <row r="92" spans="1:12" x14ac:dyDescent="0.25">
      <c r="A92" s="14" t="s">
        <v>1486</v>
      </c>
      <c r="G92" s="770">
        <v>4218</v>
      </c>
      <c r="H92" s="14" t="s">
        <v>876</v>
      </c>
      <c r="I92" s="14" t="s">
        <v>880</v>
      </c>
      <c r="J92" s="14" t="s">
        <v>881</v>
      </c>
      <c r="K92" s="14" t="s">
        <v>898</v>
      </c>
      <c r="L92" s="15">
        <v>101</v>
      </c>
    </row>
    <row r="93" spans="1:12" x14ac:dyDescent="0.25">
      <c r="A93" s="14" t="s">
        <v>1487</v>
      </c>
      <c r="G93" s="770">
        <v>17519.64</v>
      </c>
      <c r="H93" s="14" t="s">
        <v>876</v>
      </c>
      <c r="I93" s="14" t="s">
        <v>880</v>
      </c>
      <c r="J93" s="14" t="s">
        <v>881</v>
      </c>
      <c r="K93" s="14" t="s">
        <v>886</v>
      </c>
      <c r="L93" s="15">
        <v>101</v>
      </c>
    </row>
    <row r="94" spans="1:12" x14ac:dyDescent="0.25">
      <c r="A94" s="14" t="s">
        <v>1488</v>
      </c>
      <c r="G94" s="770">
        <v>11010.38</v>
      </c>
      <c r="H94" s="14" t="s">
        <v>876</v>
      </c>
      <c r="I94" s="14" t="s">
        <v>880</v>
      </c>
      <c r="J94" s="14" t="s">
        <v>889</v>
      </c>
      <c r="K94" s="14" t="s">
        <v>886</v>
      </c>
      <c r="L94" s="15">
        <v>101</v>
      </c>
    </row>
    <row r="95" spans="1:12" x14ac:dyDescent="0.25">
      <c r="A95" s="14" t="s">
        <v>1489</v>
      </c>
      <c r="G95" s="770">
        <v>1010</v>
      </c>
      <c r="H95" s="14" t="s">
        <v>876</v>
      </c>
      <c r="I95" s="14" t="s">
        <v>880</v>
      </c>
      <c r="J95" s="14" t="s">
        <v>917</v>
      </c>
      <c r="K95" s="14" t="s">
        <v>898</v>
      </c>
      <c r="L95" s="15">
        <v>101</v>
      </c>
    </row>
    <row r="96" spans="1:12" x14ac:dyDescent="0.25">
      <c r="A96" s="14" t="s">
        <v>1490</v>
      </c>
      <c r="G96" s="770">
        <v>1938.28</v>
      </c>
      <c r="H96" s="14" t="s">
        <v>876</v>
      </c>
      <c r="I96" s="14" t="s">
        <v>880</v>
      </c>
      <c r="J96" s="14" t="s">
        <v>913</v>
      </c>
      <c r="K96" s="14" t="s">
        <v>886</v>
      </c>
      <c r="L96" s="15">
        <v>101</v>
      </c>
    </row>
    <row r="97" spans="1:12" x14ac:dyDescent="0.25">
      <c r="A97" s="14" t="s">
        <v>1491</v>
      </c>
    </row>
    <row r="98" spans="1:12" x14ac:dyDescent="0.25">
      <c r="A98" s="14" t="s">
        <v>1492</v>
      </c>
      <c r="G98" s="770">
        <v>65375.96</v>
      </c>
      <c r="H98" s="14" t="s">
        <v>876</v>
      </c>
      <c r="I98" s="14" t="s">
        <v>880</v>
      </c>
      <c r="J98" s="14" t="s">
        <v>881</v>
      </c>
      <c r="K98" s="14" t="s">
        <v>890</v>
      </c>
      <c r="L98" s="15">
        <v>101</v>
      </c>
    </row>
    <row r="99" spans="1:12" x14ac:dyDescent="0.25">
      <c r="A99" s="14" t="s">
        <v>1493</v>
      </c>
      <c r="G99" s="770">
        <v>392.2</v>
      </c>
      <c r="H99" s="14" t="s">
        <v>954</v>
      </c>
      <c r="I99" s="14" t="s">
        <v>880</v>
      </c>
      <c r="J99" s="14" t="s">
        <v>881</v>
      </c>
      <c r="K99" s="14" t="s">
        <v>890</v>
      </c>
      <c r="L99" s="15">
        <v>101</v>
      </c>
    </row>
    <row r="100" spans="1:12" x14ac:dyDescent="0.25">
      <c r="A100" s="14" t="s">
        <v>1494</v>
      </c>
      <c r="G100" s="770">
        <v>430.89</v>
      </c>
      <c r="H100" s="14" t="s">
        <v>876</v>
      </c>
      <c r="I100" s="14" t="s">
        <v>880</v>
      </c>
      <c r="J100" s="14" t="s">
        <v>913</v>
      </c>
      <c r="K100" s="14" t="s">
        <v>886</v>
      </c>
      <c r="L100" s="15">
        <v>101</v>
      </c>
    </row>
    <row r="101" spans="1:12" x14ac:dyDescent="0.25">
      <c r="A101" s="14" t="s">
        <v>1495</v>
      </c>
      <c r="G101" s="770">
        <v>5463.15</v>
      </c>
      <c r="H101" s="14" t="s">
        <v>876</v>
      </c>
      <c r="I101" s="14" t="s">
        <v>880</v>
      </c>
      <c r="J101" s="14" t="s">
        <v>881</v>
      </c>
      <c r="K101" s="14" t="s">
        <v>886</v>
      </c>
      <c r="L101" s="15">
        <v>101</v>
      </c>
    </row>
    <row r="102" spans="1:12" x14ac:dyDescent="0.25">
      <c r="A102" s="14" t="s">
        <v>1496</v>
      </c>
    </row>
    <row r="103" spans="1:12" x14ac:dyDescent="0.25">
      <c r="A103" s="14" t="s">
        <v>1497</v>
      </c>
      <c r="G103" s="770">
        <v>27598.85</v>
      </c>
      <c r="H103" s="14" t="s">
        <v>876</v>
      </c>
      <c r="I103" s="14" t="s">
        <v>880</v>
      </c>
      <c r="J103" s="14" t="s">
        <v>905</v>
      </c>
      <c r="K103" s="14" t="s">
        <v>886</v>
      </c>
      <c r="L103" s="15">
        <v>101</v>
      </c>
    </row>
    <row r="104" spans="1:12" x14ac:dyDescent="0.25">
      <c r="A104" s="14" t="s">
        <v>1498</v>
      </c>
      <c r="G104" s="770">
        <v>9855</v>
      </c>
      <c r="H104" s="14" t="s">
        <v>876</v>
      </c>
      <c r="I104" s="14" t="s">
        <v>880</v>
      </c>
      <c r="J104" s="14" t="s">
        <v>913</v>
      </c>
      <c r="K104" s="14" t="s">
        <v>914</v>
      </c>
      <c r="L104" s="15">
        <v>101</v>
      </c>
    </row>
    <row r="105" spans="1:12" x14ac:dyDescent="0.25">
      <c r="A105" s="14" t="s">
        <v>1499</v>
      </c>
      <c r="G105" s="770">
        <v>29371.39</v>
      </c>
      <c r="H105" s="14" t="s">
        <v>876</v>
      </c>
      <c r="I105" s="14" t="s">
        <v>880</v>
      </c>
      <c r="J105" s="14" t="s">
        <v>905</v>
      </c>
      <c r="K105" s="14" t="s">
        <v>886</v>
      </c>
      <c r="L105" s="15">
        <v>101</v>
      </c>
    </row>
    <row r="106" spans="1:12" x14ac:dyDescent="0.25">
      <c r="A106" s="14" t="s">
        <v>1500</v>
      </c>
      <c r="G106" s="770">
        <v>16144.8</v>
      </c>
      <c r="H106" s="14" t="s">
        <v>876</v>
      </c>
      <c r="I106" s="14" t="s">
        <v>880</v>
      </c>
      <c r="J106" s="14" t="s">
        <v>913</v>
      </c>
      <c r="K106" s="14" t="s">
        <v>886</v>
      </c>
      <c r="L106" s="15">
        <v>101</v>
      </c>
    </row>
    <row r="107" spans="1:12" x14ac:dyDescent="0.25">
      <c r="A107" s="14" t="s">
        <v>1501</v>
      </c>
      <c r="G107" s="770">
        <v>13469.64</v>
      </c>
      <c r="H107" s="14" t="s">
        <v>876</v>
      </c>
      <c r="I107" s="14" t="s">
        <v>880</v>
      </c>
      <c r="J107" s="14" t="s">
        <v>917</v>
      </c>
      <c r="K107" s="14" t="s">
        <v>886</v>
      </c>
      <c r="L107" s="15">
        <v>101</v>
      </c>
    </row>
    <row r="108" spans="1:12" x14ac:dyDescent="0.25">
      <c r="A108" s="14" t="s">
        <v>1502</v>
      </c>
      <c r="G108" s="770">
        <v>8342.6200000000008</v>
      </c>
      <c r="H108" s="14" t="s">
        <v>876</v>
      </c>
      <c r="I108" s="14" t="s">
        <v>880</v>
      </c>
      <c r="J108" s="14" t="s">
        <v>913</v>
      </c>
      <c r="K108" s="14" t="s">
        <v>886</v>
      </c>
      <c r="L108" s="15">
        <v>101</v>
      </c>
    </row>
    <row r="109" spans="1:12" x14ac:dyDescent="0.25">
      <c r="A109" s="14" t="s">
        <v>1503</v>
      </c>
      <c r="G109" s="770">
        <v>1732.05</v>
      </c>
      <c r="H109" s="14" t="s">
        <v>876</v>
      </c>
      <c r="I109" s="14" t="s">
        <v>880</v>
      </c>
      <c r="J109" s="14" t="s">
        <v>917</v>
      </c>
      <c r="K109" s="14" t="s">
        <v>886</v>
      </c>
      <c r="L109" s="15">
        <v>101</v>
      </c>
    </row>
    <row r="110" spans="1:12" x14ac:dyDescent="0.25">
      <c r="A110" s="14" t="s">
        <v>1504</v>
      </c>
      <c r="G110" s="770">
        <v>5478.14</v>
      </c>
      <c r="H110" s="14" t="s">
        <v>876</v>
      </c>
      <c r="I110" s="14" t="s">
        <v>880</v>
      </c>
      <c r="J110" s="14" t="s">
        <v>917</v>
      </c>
      <c r="K110" s="14" t="s">
        <v>886</v>
      </c>
      <c r="L110" s="15">
        <v>101</v>
      </c>
    </row>
    <row r="111" spans="1:12" x14ac:dyDescent="0.25">
      <c r="A111" s="14" t="s">
        <v>1505</v>
      </c>
      <c r="G111" s="770">
        <v>750</v>
      </c>
      <c r="H111" s="14" t="s">
        <v>876</v>
      </c>
      <c r="I111" s="14" t="s">
        <v>880</v>
      </c>
      <c r="J111" s="14" t="s">
        <v>889</v>
      </c>
      <c r="K111" s="14" t="s">
        <v>886</v>
      </c>
      <c r="L111" s="15">
        <v>101</v>
      </c>
    </row>
    <row r="112" spans="1:12" x14ac:dyDescent="0.25">
      <c r="A112" s="771" t="s">
        <v>1526</v>
      </c>
      <c r="G112" s="770">
        <v>1211.43</v>
      </c>
      <c r="H112" s="14" t="s">
        <v>876</v>
      </c>
      <c r="I112" s="14" t="s">
        <v>880</v>
      </c>
      <c r="J112" s="14" t="s">
        <v>889</v>
      </c>
      <c r="K112" s="14" t="s">
        <v>886</v>
      </c>
      <c r="L112" s="15">
        <v>101</v>
      </c>
    </row>
    <row r="113" spans="1:12" x14ac:dyDescent="0.25">
      <c r="A113" s="14" t="s">
        <v>1506</v>
      </c>
      <c r="G113" s="770">
        <v>521148</v>
      </c>
      <c r="H113" s="14" t="s">
        <v>876</v>
      </c>
      <c r="I113" s="14" t="s">
        <v>880</v>
      </c>
      <c r="J113" s="14" t="s">
        <v>917</v>
      </c>
      <c r="K113" s="14" t="s">
        <v>886</v>
      </c>
      <c r="L113" s="15">
        <v>101</v>
      </c>
    </row>
    <row r="114" spans="1:12" x14ac:dyDescent="0.25">
      <c r="A114" s="14" t="s">
        <v>1507</v>
      </c>
      <c r="G114" s="770">
        <v>7820.74</v>
      </c>
      <c r="H114" s="14" t="s">
        <v>876</v>
      </c>
      <c r="I114" s="14" t="s">
        <v>880</v>
      </c>
      <c r="J114" s="14" t="s">
        <v>917</v>
      </c>
      <c r="K114" s="14" t="s">
        <v>886</v>
      </c>
      <c r="L114" s="15">
        <v>101</v>
      </c>
    </row>
    <row r="115" spans="1:12" x14ac:dyDescent="0.25">
      <c r="A115" s="14" t="s">
        <v>1508</v>
      </c>
      <c r="G115" s="770">
        <v>3774.75</v>
      </c>
      <c r="H115" s="14" t="s">
        <v>876</v>
      </c>
      <c r="I115" s="14" t="s">
        <v>880</v>
      </c>
      <c r="J115" s="14" t="s">
        <v>917</v>
      </c>
      <c r="K115" s="14" t="s">
        <v>886</v>
      </c>
      <c r="L115" s="15">
        <v>101</v>
      </c>
    </row>
    <row r="116" spans="1:12" x14ac:dyDescent="0.25">
      <c r="A116" s="14" t="s">
        <v>1509</v>
      </c>
      <c r="G116" s="770">
        <v>10165.959999999999</v>
      </c>
      <c r="H116" s="14" t="s">
        <v>876</v>
      </c>
      <c r="I116" s="14" t="s">
        <v>880</v>
      </c>
      <c r="J116" s="14" t="s">
        <v>881</v>
      </c>
      <c r="K116" s="14" t="s">
        <v>886</v>
      </c>
      <c r="L116" s="15">
        <v>101</v>
      </c>
    </row>
    <row r="117" spans="1:12" x14ac:dyDescent="0.25">
      <c r="A117" s="14" t="s">
        <v>1510</v>
      </c>
      <c r="G117" s="770">
        <v>2387.4299999999998</v>
      </c>
      <c r="H117" s="14" t="s">
        <v>876</v>
      </c>
      <c r="I117" s="14" t="s">
        <v>880</v>
      </c>
      <c r="J117" s="14" t="s">
        <v>889</v>
      </c>
      <c r="K117" s="14" t="s">
        <v>890</v>
      </c>
      <c r="L117" s="15">
        <v>101</v>
      </c>
    </row>
    <row r="118" spans="1:12" x14ac:dyDescent="0.25">
      <c r="A118" s="14" t="s">
        <v>1511</v>
      </c>
      <c r="G118" s="770">
        <v>1180.67</v>
      </c>
      <c r="H118" s="14" t="s">
        <v>876</v>
      </c>
      <c r="I118" s="14" t="s">
        <v>880</v>
      </c>
      <c r="J118" s="14" t="s">
        <v>913</v>
      </c>
      <c r="K118" s="14" t="s">
        <v>886</v>
      </c>
      <c r="L118" s="15">
        <v>101</v>
      </c>
    </row>
    <row r="119" spans="1:12" x14ac:dyDescent="0.25">
      <c r="A119" s="14" t="s">
        <v>1512</v>
      </c>
      <c r="G119" s="770">
        <v>9044.94</v>
      </c>
      <c r="H119" s="14" t="s">
        <v>876</v>
      </c>
      <c r="I119" s="14" t="s">
        <v>880</v>
      </c>
      <c r="J119" s="14" t="s">
        <v>917</v>
      </c>
      <c r="K119" s="14" t="s">
        <v>886</v>
      </c>
      <c r="L119" s="15">
        <v>101</v>
      </c>
    </row>
    <row r="120" spans="1:12" x14ac:dyDescent="0.25">
      <c r="A120" s="14" t="s">
        <v>1513</v>
      </c>
      <c r="G120" s="770">
        <v>613.08000000000004</v>
      </c>
      <c r="H120" s="14" t="s">
        <v>876</v>
      </c>
      <c r="I120" s="14" t="s">
        <v>880</v>
      </c>
      <c r="J120" s="14" t="s">
        <v>917</v>
      </c>
      <c r="K120" s="14" t="s">
        <v>886</v>
      </c>
      <c r="L120" s="15">
        <v>101</v>
      </c>
    </row>
    <row r="121" spans="1:12" x14ac:dyDescent="0.25">
      <c r="A121" s="14" t="s">
        <v>1514</v>
      </c>
      <c r="G121" s="770">
        <v>27328.58</v>
      </c>
      <c r="H121" s="14" t="s">
        <v>876</v>
      </c>
      <c r="I121" s="14" t="s">
        <v>880</v>
      </c>
      <c r="J121" s="14" t="s">
        <v>917</v>
      </c>
      <c r="K121" s="14" t="s">
        <v>886</v>
      </c>
      <c r="L121" s="15">
        <v>101</v>
      </c>
    </row>
    <row r="122" spans="1:12" x14ac:dyDescent="0.25">
      <c r="A122" s="14" t="s">
        <v>1515</v>
      </c>
      <c r="G122" s="770">
        <v>4175.63</v>
      </c>
      <c r="H122" s="14" t="s">
        <v>876</v>
      </c>
      <c r="I122" s="14" t="s">
        <v>880</v>
      </c>
      <c r="J122" s="14" t="s">
        <v>881</v>
      </c>
      <c r="K122" s="14" t="s">
        <v>890</v>
      </c>
      <c r="L122" s="15">
        <v>101</v>
      </c>
    </row>
    <row r="123" spans="1:12" x14ac:dyDescent="0.25">
      <c r="A123" s="14" t="s">
        <v>1516</v>
      </c>
      <c r="G123" s="770">
        <v>9929.9</v>
      </c>
      <c r="H123" s="14" t="s">
        <v>876</v>
      </c>
      <c r="I123" s="14" t="s">
        <v>880</v>
      </c>
      <c r="J123" s="14" t="s">
        <v>913</v>
      </c>
      <c r="K123" s="14" t="s">
        <v>886</v>
      </c>
      <c r="L123" s="15">
        <v>101</v>
      </c>
    </row>
    <row r="124" spans="1:12" x14ac:dyDescent="0.25">
      <c r="A124" s="14" t="s">
        <v>1517</v>
      </c>
      <c r="G124" s="770">
        <v>3941.83</v>
      </c>
      <c r="H124" s="14" t="s">
        <v>876</v>
      </c>
      <c r="I124" s="14" t="s">
        <v>880</v>
      </c>
      <c r="J124" s="14" t="s">
        <v>917</v>
      </c>
      <c r="K124" s="14" t="s">
        <v>890</v>
      </c>
      <c r="L124" s="15">
        <v>101</v>
      </c>
    </row>
    <row r="125" spans="1:12" x14ac:dyDescent="0.25">
      <c r="A125" s="14" t="s">
        <v>1518</v>
      </c>
      <c r="G125" s="770">
        <v>1406.94</v>
      </c>
      <c r="H125" s="14" t="s">
        <v>876</v>
      </c>
      <c r="I125" s="14" t="s">
        <v>880</v>
      </c>
      <c r="J125" s="14" t="s">
        <v>881</v>
      </c>
      <c r="K125" s="14" t="s">
        <v>890</v>
      </c>
      <c r="L125" s="15">
        <v>101</v>
      </c>
    </row>
    <row r="126" spans="1:12" x14ac:dyDescent="0.25">
      <c r="A126" s="14" t="s">
        <v>1519</v>
      </c>
      <c r="G126" s="770">
        <v>992.61</v>
      </c>
      <c r="H126" s="14" t="s">
        <v>954</v>
      </c>
      <c r="I126" s="14" t="s">
        <v>880</v>
      </c>
      <c r="J126" s="14" t="s">
        <v>881</v>
      </c>
      <c r="K126" s="14" t="s">
        <v>890</v>
      </c>
      <c r="L126" s="15">
        <v>101</v>
      </c>
    </row>
    <row r="127" spans="1:12" x14ac:dyDescent="0.25">
      <c r="A127" s="14" t="s">
        <v>1520</v>
      </c>
      <c r="G127" s="770">
        <v>6456.47</v>
      </c>
      <c r="H127" s="14" t="s">
        <v>876</v>
      </c>
      <c r="I127" s="14" t="s">
        <v>880</v>
      </c>
      <c r="J127" s="14" t="s">
        <v>889</v>
      </c>
      <c r="K127" s="14" t="s">
        <v>890</v>
      </c>
      <c r="L127" s="15">
        <v>101</v>
      </c>
    </row>
    <row r="128" spans="1:12" x14ac:dyDescent="0.25">
      <c r="A128" s="773" t="s">
        <v>1533</v>
      </c>
      <c r="G128" s="770">
        <v>42631.01</v>
      </c>
      <c r="H128" s="14" t="s">
        <v>981</v>
      </c>
      <c r="I128" s="14" t="s">
        <v>880</v>
      </c>
      <c r="J128" s="14" t="s">
        <v>881</v>
      </c>
      <c r="K128" s="14" t="s">
        <v>890</v>
      </c>
      <c r="L128" s="15">
        <v>101</v>
      </c>
    </row>
    <row r="129" spans="1:12" x14ac:dyDescent="0.25">
      <c r="A129" s="14" t="s">
        <v>1521</v>
      </c>
      <c r="G129" s="770">
        <v>1241.25</v>
      </c>
      <c r="H129" s="14" t="s">
        <v>876</v>
      </c>
      <c r="I129" s="14" t="s">
        <v>880</v>
      </c>
      <c r="J129" s="14" t="s">
        <v>893</v>
      </c>
      <c r="K129" s="14" t="s">
        <v>890</v>
      </c>
      <c r="L129" s="15">
        <v>101</v>
      </c>
    </row>
    <row r="130" spans="1:12" x14ac:dyDescent="0.25">
      <c r="A130" s="14" t="s">
        <v>1522</v>
      </c>
      <c r="G130" s="770">
        <v>1414.47</v>
      </c>
      <c r="H130" s="14" t="s">
        <v>876</v>
      </c>
      <c r="I130" s="14" t="s">
        <v>880</v>
      </c>
      <c r="J130" s="14" t="s">
        <v>881</v>
      </c>
      <c r="K130" s="14" t="s">
        <v>890</v>
      </c>
      <c r="L130" s="15">
        <v>101</v>
      </c>
    </row>
    <row r="131" spans="1:12" x14ac:dyDescent="0.25">
      <c r="A131" s="14" t="s">
        <v>1523</v>
      </c>
      <c r="G131" s="770">
        <v>14456.23</v>
      </c>
      <c r="H131" s="14" t="s">
        <v>876</v>
      </c>
      <c r="I131" s="14" t="s">
        <v>884</v>
      </c>
      <c r="J131" s="14" t="s">
        <v>889</v>
      </c>
      <c r="K131" s="14" t="s">
        <v>886</v>
      </c>
      <c r="L131" s="15">
        <v>101</v>
      </c>
    </row>
    <row r="132" spans="1:12" x14ac:dyDescent="0.25">
      <c r="A132" s="14" t="s">
        <v>1524</v>
      </c>
      <c r="G132" s="770">
        <v>996680</v>
      </c>
      <c r="H132" s="14" t="s">
        <v>876</v>
      </c>
      <c r="I132" s="14" t="s">
        <v>880</v>
      </c>
      <c r="J132" s="14" t="s">
        <v>881</v>
      </c>
      <c r="K132" s="14" t="s">
        <v>886</v>
      </c>
      <c r="L132" s="15">
        <v>101</v>
      </c>
    </row>
    <row r="133" spans="1:12" x14ac:dyDescent="0.25">
      <c r="A133" s="14" t="s">
        <v>1525</v>
      </c>
      <c r="G133" s="770">
        <v>41412</v>
      </c>
      <c r="H133" s="14" t="s">
        <v>876</v>
      </c>
      <c r="I133" s="14" t="s">
        <v>880</v>
      </c>
      <c r="J133" s="14" t="s">
        <v>881</v>
      </c>
      <c r="K133" s="14" t="s">
        <v>886</v>
      </c>
      <c r="L133" s="15">
        <v>101</v>
      </c>
    </row>
  </sheetData>
  <autoFilter ref="A1:L4340" xr:uid="{00000000-0009-0000-0000-000011000000}"/>
  <conditionalFormatting sqref="E2:E65536">
    <cfRule type="expression" dxfId="9" priority="13" stopIfTrue="1">
      <formula>AND($E2&lt;&gt;#REF!,$E2&gt;0)</formula>
    </cfRule>
  </conditionalFormatting>
  <conditionalFormatting sqref="F2:F65536">
    <cfRule type="expression" dxfId="8" priority="12" stopIfTrue="1">
      <formula>AND($F2&lt;&gt;#REF!,$F2&gt;0)</formula>
    </cfRule>
  </conditionalFormatting>
  <conditionalFormatting sqref="H2:L37000">
    <cfRule type="containsBlanks" dxfId="7" priority="14" stopIfTrue="1">
      <formula>LEN(TRIM(H2))=0</formula>
    </cfRule>
  </conditionalFormatting>
  <conditionalFormatting sqref="I2:I37000">
    <cfRule type="expression" dxfId="6" priority="7" stopIfTrue="1">
      <formula>AND(LEFT($J2,4)="2700",OR(LEFT($I2,2)="Ba",LEFT($I2,2)="Re",LEFT($I2,3)="100",LEFT($I2,1)="2", LEFT($I2,1)="5", LEFT($I2,1)="6", LEFT($I2,3)="700", LEFT($I2,3)="800", LEFT($I2,3)="900"))</formula>
    </cfRule>
    <cfRule type="expression" dxfId="5" priority="8" stopIfTrue="1">
      <formula>AND(LEFT($H2,4)="1072",OR(LEFT($I2,3)="100",LEFT($I2,3)="200",LEFT($I2,3)="260",LEFT($I2,3)="270",LEFT($I2,3)="400", LEFT($I2,3)="430", LEFT($I2,1)="5", LEFT($I2,1)="6", LEFT($I2,3)="700", LEFT($I2,3)="800", LEFT($I2,3)="900"))</formula>
    </cfRule>
    <cfRule type="expression" dxfId="4" priority="11" stopIfTrue="1">
      <formula>AND(LEFT($H2,4)="1071",OR(LEFT($I2,3)="100",LEFT($I2,3)="200",LEFT($I2,3)="265",LEFT($I2,3)="270",LEFT($I2,3)="400", LEFT($I2,3)="435", LEFT($I2,1)="5", LEFT($I2,1)="6", LEFT($I2,3)="700", LEFT($I2,3)="800", LEFT($I2,3)="900"))</formula>
    </cfRule>
  </conditionalFormatting>
  <conditionalFormatting sqref="J2:J37000">
    <cfRule type="expression" dxfId="3" priority="1" stopIfTrue="1">
      <formula>AND(LEFT($K2,3)="682",OR(LEFT($J2,1)="B",LEFT($J2,1)="R",LEFT($J2,1)="1",LEFT($J2,2)="21",LEFT($J2,2)="22",LEFT($J2,2)="24",LEFT($J2,2)="25",LEFT($J2,2)="26",LEFT($J2,2)="27",LEFT($J2,2)="29",LEFT($J2,1)="3",LEFT($J2,1)="4",LEFT($J2,1)="5"))</formula>
    </cfRule>
    <cfRule type="expression" dxfId="2" priority="2" stopIfTrue="1">
      <formula>AND(LEFT($K2,3)="685",OR(LEFT($J2,1)="B",LEFT($J2,1)="R",LEFT($J2,1)="1",LEFT($J2,2)="21",LEFT($J2,2)="22",LEFT($J2,2)="23",LEFT($J2,2)="24",LEFT($J2,2)="26",LEFT($J2,2)="27",LEFT($J2,2)="29",LEFT($J2,1)="3",LEFT($J2,1)="4"))</formula>
    </cfRule>
  </conditionalFormatting>
  <conditionalFormatting sqref="K2:K37000">
    <cfRule type="expression" dxfId="1" priority="4" stopIfTrue="1">
      <formula>AND(OR(LEFT($H2,4)="1071",LEFT($H2,4)="1072"),OR(LEFT($K2,2)="13",LEFT($K2,2)="14",LEFT($K2,2)="16",LEFT($K2,2)="17",LEFT($K2,2)="18",LEFT($K2,2)="19",LEFT($K2,1)="O",LEFT($K2,1)="2",LEFT($K2,2)="31",LEFT($K2,2)="39",LEFT($K2,1)="4"))</formula>
    </cfRule>
    <cfRule type="expression" dxfId="0" priority="5" stopIfTrue="1">
      <formula>AND(LEFT($H2,3)="101",OR(LEFT($K2,2)="13",LEFT($K2,2)="14",LEFT($K2,2)="16",LEFT($K2,2)="17",LEFT($K2,2)="18",LEFT($K2,2)="19",LEFT($K2,1)="O",LEFT($K2,1)="2",LEFT($K2,1)="4"))</formula>
    </cfRule>
  </conditionalFormatting>
  <dataValidations count="5">
    <dataValidation type="list" allowBlank="1" showInputMessage="1" showErrorMessage="1" sqref="L2:L37000" xr:uid="{00000000-0002-0000-1100-000000000000}">
      <formula1>$Y$2:$Y$21</formula1>
    </dataValidation>
    <dataValidation type="list" allowBlank="1" showInputMessage="1" showErrorMessage="1" sqref="I2:I37000" xr:uid="{00000000-0002-0000-1100-000001000000}">
      <formula1>$N$2:$N$21</formula1>
    </dataValidation>
    <dataValidation type="list" allowBlank="1" showInputMessage="1" showErrorMessage="1" sqref="J2:J37000" xr:uid="{00000000-0002-0000-1100-000002000000}">
      <formula1>$O$2:$O$21</formula1>
    </dataValidation>
    <dataValidation type="list" allowBlank="1" showInputMessage="1" showErrorMessage="1" sqref="H2:H37000" xr:uid="{00000000-0002-0000-1100-000004000000}">
      <formula1>$M$3:$M$41</formula1>
    </dataValidation>
    <dataValidation type="list" allowBlank="1" showInputMessage="1" showErrorMessage="1" sqref="K2:K37000" xr:uid="{00000000-0002-0000-1100-000003000000}">
      <formula1>$P$2:$P$44</formula1>
    </dataValidation>
  </dataValidations>
  <hyperlinks>
    <hyperlink ref="M25:M27" location="ImpactAidandOtherFederalProjects" display="13__ Impact Aid" xr:uid="{00000000-0004-0000-1100-000000000000}"/>
  </hyperlinks>
  <pageMargins left="0.7" right="0.7" top="0.75" bottom="0.75" header="0.3" footer="0.3"/>
  <pageSetup scale="28" fitToHeight="3" orientation="portrait" r:id="rId1"/>
  <headerFooter>
    <oddFooter>&amp;LRev. 8/25 Arizona Department of Education and Auditor General&amp;CFY 2025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3FEE-CD0E-4D78-8368-259836ADEC6D}">
  <sheetPr>
    <pageSetUpPr fitToPage="1"/>
  </sheetPr>
  <dimension ref="A1:E1539"/>
  <sheetViews>
    <sheetView showGridLines="0" workbookViewId="0"/>
  </sheetViews>
  <sheetFormatPr defaultColWidth="9.33203125" defaultRowHeight="12.75" x14ac:dyDescent="0.2"/>
  <cols>
    <col min="1" max="1" width="27.33203125" customWidth="1"/>
    <col min="2" max="2" width="24" customWidth="1"/>
    <col min="3" max="3" width="23.33203125" customWidth="1"/>
    <col min="4" max="4" width="28.33203125" customWidth="1"/>
    <col min="5" max="5" width="26.33203125" customWidth="1"/>
  </cols>
  <sheetData>
    <row r="1" spans="1:5" ht="15" x14ac:dyDescent="0.25">
      <c r="A1" s="520" t="s">
        <v>986</v>
      </c>
      <c r="B1" s="520" t="s">
        <v>987</v>
      </c>
      <c r="C1" s="520" t="s">
        <v>988</v>
      </c>
      <c r="D1" s="520" t="s">
        <v>989</v>
      </c>
      <c r="E1" s="521" t="s">
        <v>990</v>
      </c>
    </row>
    <row r="2" spans="1:5" x14ac:dyDescent="0.2">
      <c r="A2" s="522" t="s">
        <v>991</v>
      </c>
      <c r="B2" s="522" t="s">
        <v>991</v>
      </c>
      <c r="C2" s="522">
        <v>1000</v>
      </c>
      <c r="D2" s="522">
        <v>6100</v>
      </c>
      <c r="E2" s="523">
        <f>SUMIFS('Accounting data'!$G$2:$G$37000,'Accounting data'!$J$2:$J$37000,"1*",'Accounting data'!$K$2:$K$37000,"61*")</f>
        <v>211003</v>
      </c>
    </row>
    <row r="3" spans="1:5" x14ac:dyDescent="0.2">
      <c r="A3" s="522" t="s">
        <v>992</v>
      </c>
      <c r="B3" s="522" t="s">
        <v>991</v>
      </c>
      <c r="C3" s="522">
        <v>1000</v>
      </c>
      <c r="D3" s="522">
        <v>6100</v>
      </c>
      <c r="E3" s="523">
        <f>SUMIFS('Accounting data'!$G$2:$G$37000,'Accounting data'!$H$2:$H$37000,"9999*",'Accounting data'!$J$2:$J$37000,"1*",'Accounting data'!$K$2:$K$37000,"61*")</f>
        <v>0</v>
      </c>
    </row>
    <row r="4" spans="1:5" x14ac:dyDescent="0.2">
      <c r="A4" s="522" t="s">
        <v>991</v>
      </c>
      <c r="B4" s="522" t="s">
        <v>993</v>
      </c>
      <c r="C4" s="522">
        <v>1000</v>
      </c>
      <c r="D4" s="522">
        <v>6100</v>
      </c>
      <c r="E4" s="523">
        <f>SUMIFS('Accounting data'!$G$2:$G$37000,'Accounting data'!$I$2:$I$37000,"7*",'Accounting data'!$J$2:$J$37000,"1*",'Accounting data'!$K$2:$K$37000,"61*")+SUMIFS('Accounting data'!$G$2:$G$37000,'Accounting data'!$I$2:$I$37000,"8*",'Accounting data'!$J$2:$J$37000,"1*",'Accounting data'!$K$2:$K$37000,"61*")+SUMIFS('Accounting data'!$G$2:$G$37000,'Accounting data'!$I$2:$I$37000,"9*",'Accounting data'!$J$2:$J$37000,"1*",'Accounting data'!$K$2:$K$37000,"61*")</f>
        <v>0</v>
      </c>
    </row>
    <row r="5" spans="1:5" x14ac:dyDescent="0.2">
      <c r="A5" s="524" t="s">
        <v>992</v>
      </c>
      <c r="B5" s="522" t="s">
        <v>993</v>
      </c>
      <c r="C5" s="522">
        <v>1000</v>
      </c>
      <c r="D5" s="522">
        <v>6100</v>
      </c>
      <c r="E5" s="523">
        <f>SUMIFS('Accounting data'!$G$2:$G$37000,'Accounting data'!$H$2:$H$37000,"9999*",'Accounting data'!$I$2:$I$37000,"7*",'Accounting data'!$J$2:$J$37000,"1*",'Accounting data'!$K$2:$K$37000,"61*")+SUMIFS('Accounting data'!$G$2:$G$37000,'Accounting data'!$H$2:$H$37000,"9999*",'Accounting data'!$I$2:$I$37000,"8*",'Accounting data'!$J$2:$J$37000,"1*",'Accounting data'!$K$2:$K$37000,"61*")+SUMIFS('Accounting data'!$G$2:$G$37000,'Accounting data'!$H$2:$H$37000,"9999*",'Accounting data'!$I$2:$I$37000,"9*",'Accounting data'!$J$2:$J$37000,"1*",'Accounting data'!$K$2:$K$37000,"61*")</f>
        <v>0</v>
      </c>
    </row>
    <row r="6" spans="1:5" x14ac:dyDescent="0.2">
      <c r="A6" s="522"/>
      <c r="B6" s="522"/>
      <c r="C6" s="522"/>
      <c r="D6" s="522"/>
      <c r="E6" s="523"/>
    </row>
    <row r="7" spans="1:5" x14ac:dyDescent="0.2">
      <c r="A7" s="522"/>
      <c r="B7" s="522"/>
      <c r="C7" s="522"/>
      <c r="D7" s="522"/>
      <c r="E7" s="523"/>
    </row>
    <row r="8" spans="1:5" ht="15" x14ac:dyDescent="0.25">
      <c r="A8" s="525" t="s">
        <v>994</v>
      </c>
      <c r="B8" s="525"/>
      <c r="C8" s="525"/>
      <c r="D8" s="525"/>
      <c r="E8" s="526">
        <f>(E2-E3-E4)+(E5+E6+E7)</f>
        <v>211003</v>
      </c>
    </row>
    <row r="9" spans="1:5" x14ac:dyDescent="0.2">
      <c r="A9" s="522" t="s">
        <v>991</v>
      </c>
      <c r="B9" s="522" t="s">
        <v>991</v>
      </c>
      <c r="C9" s="522">
        <v>2100</v>
      </c>
      <c r="D9" s="522">
        <v>6100</v>
      </c>
      <c r="E9" s="523">
        <f>SUMIFS('Accounting data'!$G$2:$G$37000,'Accounting data'!$J$2:$J$37000,"21*",'Accounting data'!$K$2:$K$37000,"61*")</f>
        <v>89168</v>
      </c>
    </row>
    <row r="10" spans="1:5" x14ac:dyDescent="0.2">
      <c r="A10" s="522" t="s">
        <v>992</v>
      </c>
      <c r="B10" s="522" t="s">
        <v>991</v>
      </c>
      <c r="C10" s="522">
        <v>2100</v>
      </c>
      <c r="D10" s="522">
        <v>6100</v>
      </c>
      <c r="E10" s="523">
        <f>SUMIFS('Accounting data'!$G$2:$G$37000,'Accounting data'!$H$2:$H$37000,"9999*",'Accounting data'!$J$2:$J$37000,"21*",'Accounting data'!$K$2:$K$37000,"61*")</f>
        <v>0</v>
      </c>
    </row>
    <row r="11" spans="1:5" x14ac:dyDescent="0.2">
      <c r="A11" s="522" t="s">
        <v>991</v>
      </c>
      <c r="B11" s="522" t="s">
        <v>993</v>
      </c>
      <c r="C11" s="522">
        <v>2100</v>
      </c>
      <c r="D11" s="522">
        <v>6100</v>
      </c>
      <c r="E11" s="523">
        <f>SUMIFS('Accounting data'!$G$2:$G$37000,'Accounting data'!$I$2:$I$37000,"7*",'Accounting data'!$J$2:$J$37000,"21*",'Accounting data'!$K$2:$K$37000,"61*")+SUMIFS('Accounting data'!$G$2:$G$37000,'Accounting data'!$I$2:$I$37000,"8*",'Accounting data'!$J$2:$J$37000,"21*",'Accounting data'!$K$2:$K$37000,"61*")+SUMIFS('Accounting data'!$G$2:$G$37000,'Accounting data'!$I$2:$I$37000,"9*",'Accounting data'!$J$2:$J$37000,"21*",'Accounting data'!$K$2:$K$37000,"61*")</f>
        <v>0</v>
      </c>
    </row>
    <row r="12" spans="1:5" x14ac:dyDescent="0.2">
      <c r="A12" s="524" t="s">
        <v>992</v>
      </c>
      <c r="B12" s="522" t="s">
        <v>993</v>
      </c>
      <c r="C12" s="522">
        <v>2100</v>
      </c>
      <c r="D12" s="522">
        <v>6100</v>
      </c>
      <c r="E12" s="523">
        <f>SUMIFS('Accounting data'!$G$2:$G$37000,'Accounting data'!$H$2:$H$37000,"9999*",'Accounting data'!$I$2:$I$37000,"7*",'Accounting data'!$J$2:$J$37000,"21*",'Accounting data'!$K$2:$K$37000,"61*")+SUMIFS('Accounting data'!$G$2:$G$37000,'Accounting data'!$H$2:$H$37000,"9999*",'Accounting data'!$I$2:$I$37000,"8*",'Accounting data'!$J$2:$J$37000,"21*",'Accounting data'!$K$2:$K$37000,"61*")+SUMIFS('Accounting data'!$G$2:$G$37000,'Accounting data'!$H$2:$H$37000,"9999*",'Accounting data'!$I$2:$I$37000,"9*",'Accounting data'!$J$2:$J$37000,"21*",'Accounting data'!$K$2:$K$37000,"61*")</f>
        <v>0</v>
      </c>
    </row>
    <row r="13" spans="1:5" x14ac:dyDescent="0.2">
      <c r="A13" s="522"/>
      <c r="B13" s="522"/>
      <c r="C13" s="522"/>
      <c r="D13" s="522"/>
      <c r="E13" s="523"/>
    </row>
    <row r="14" spans="1:5" x14ac:dyDescent="0.2">
      <c r="A14" s="522"/>
      <c r="B14" s="522"/>
      <c r="C14" s="522"/>
      <c r="D14" s="522"/>
      <c r="E14" s="523"/>
    </row>
    <row r="15" spans="1:5" ht="15" x14ac:dyDescent="0.25">
      <c r="A15" s="525" t="s">
        <v>995</v>
      </c>
      <c r="B15" s="525"/>
      <c r="C15" s="525"/>
      <c r="D15" s="525"/>
      <c r="E15" s="526">
        <f>(E9-E10-E11)+(E12+E13+E14)</f>
        <v>89168</v>
      </c>
    </row>
    <row r="16" spans="1:5" x14ac:dyDescent="0.2">
      <c r="A16" s="522" t="s">
        <v>991</v>
      </c>
      <c r="B16" s="522" t="s">
        <v>991</v>
      </c>
      <c r="C16" s="522">
        <v>2200</v>
      </c>
      <c r="D16" s="522">
        <v>6100</v>
      </c>
      <c r="E16" s="523">
        <f>SUMIFS('Accounting data'!$G$2:$G$37000,'Accounting data'!$J$2:$J$37000,"22*",'Accounting data'!$K$2:$K$37000,"61*")</f>
        <v>138985</v>
      </c>
    </row>
    <row r="17" spans="1:5" x14ac:dyDescent="0.2">
      <c r="A17" s="522" t="s">
        <v>992</v>
      </c>
      <c r="B17" s="522" t="s">
        <v>991</v>
      </c>
      <c r="C17" s="522">
        <v>2200</v>
      </c>
      <c r="D17" s="522">
        <v>6100</v>
      </c>
      <c r="E17" s="523">
        <f>SUMIFS('Accounting data'!$G$2:$G$37000,'Accounting data'!$H$2:$H$37000,"9999*",'Accounting data'!$J$2:$J$37000,"22*",'Accounting data'!$K$2:$K$37000,"61*")</f>
        <v>0</v>
      </c>
    </row>
    <row r="18" spans="1:5" x14ac:dyDescent="0.2">
      <c r="A18" s="522" t="s">
        <v>991</v>
      </c>
      <c r="B18" s="522" t="s">
        <v>993</v>
      </c>
      <c r="C18" s="522">
        <v>2200</v>
      </c>
      <c r="D18" s="522">
        <v>6100</v>
      </c>
      <c r="E18" s="523">
        <f>SUMIFS('Accounting data'!$G$2:$G$37000,'Accounting data'!$I$2:$I$37000,"7*",'Accounting data'!$J$2:$J$37000,"22*",'Accounting data'!$K$2:$K$37000,"61*")+SUMIFS('Accounting data'!$G$2:$G$37000,'Accounting data'!$I$2:$I$37000,"8*",'Accounting data'!$J$2:$J$37000,"22*",'Accounting data'!$K$2:$K$37000,"61*")+SUMIFS('Accounting data'!$G$2:$G$37000,'Accounting data'!$I$2:$I$37000,"9*",'Accounting data'!$J$2:$J$37000,"22*",'Accounting data'!$K$2:$K$37000,"61*")</f>
        <v>0</v>
      </c>
    </row>
    <row r="19" spans="1:5" x14ac:dyDescent="0.2">
      <c r="A19" s="524" t="s">
        <v>992</v>
      </c>
      <c r="B19" s="522" t="s">
        <v>993</v>
      </c>
      <c r="C19" s="522">
        <v>2200</v>
      </c>
      <c r="D19" s="522">
        <v>6100</v>
      </c>
      <c r="E19" s="523">
        <f>SUMIFS('Accounting data'!$G$2:$G$37000,'Accounting data'!$H$2:$H$37000,"9999*",'Accounting data'!$I$2:$I$37000,"7*",'Accounting data'!$J$2:$J$37000,"22*",'Accounting data'!$K$2:$K$37000,"61*")+SUMIFS('Accounting data'!$G$2:$G$37000,'Accounting data'!$H$2:$H$37000,"9999*",'Accounting data'!$I$2:$I$37000,"8*",'Accounting data'!$J$2:$J$37000,"22*",'Accounting data'!$K$2:$K$37000,"61*")+SUMIFS('Accounting data'!$G$2:$G$37000,'Accounting data'!$H$2:$H$37000,"9999*",'Accounting data'!$I$2:$I$37000,"9*",'Accounting data'!$J$2:$J$37000,"22*",'Accounting data'!$K$2:$K$37000,"61*")</f>
        <v>0</v>
      </c>
    </row>
    <row r="20" spans="1:5" x14ac:dyDescent="0.2">
      <c r="A20" s="522"/>
      <c r="B20" s="522"/>
      <c r="C20" s="522"/>
      <c r="D20" s="522"/>
      <c r="E20" s="523"/>
    </row>
    <row r="21" spans="1:5" x14ac:dyDescent="0.2">
      <c r="A21" s="522"/>
      <c r="B21" s="522"/>
      <c r="C21" s="522"/>
      <c r="D21" s="522"/>
      <c r="E21" s="523"/>
    </row>
    <row r="22" spans="1:5" ht="15" x14ac:dyDescent="0.25">
      <c r="A22" s="525" t="s">
        <v>996</v>
      </c>
      <c r="B22" s="525"/>
      <c r="C22" s="525"/>
      <c r="D22" s="525"/>
      <c r="E22" s="526">
        <f>(E16-E17-E18)+(E19+E20+E21)</f>
        <v>138985</v>
      </c>
    </row>
    <row r="23" spans="1:5" x14ac:dyDescent="0.2">
      <c r="A23" s="522" t="s">
        <v>991</v>
      </c>
      <c r="B23" s="522" t="s">
        <v>991</v>
      </c>
      <c r="C23" s="522">
        <v>2300</v>
      </c>
      <c r="D23" s="522">
        <v>6100</v>
      </c>
      <c r="E23" s="523">
        <f>SUMIFS('Accounting data'!$G$2:$G$37000,'Accounting data'!$J$2:$J$37000,"23*",'Accounting data'!$K$2:$K$37000,"61*")</f>
        <v>64470</v>
      </c>
    </row>
    <row r="24" spans="1:5" x14ac:dyDescent="0.2">
      <c r="A24" s="522" t="s">
        <v>992</v>
      </c>
      <c r="B24" s="522" t="s">
        <v>991</v>
      </c>
      <c r="C24" s="522">
        <v>2300</v>
      </c>
      <c r="D24" s="522">
        <v>6100</v>
      </c>
      <c r="E24" s="523">
        <f>SUMIFS('Accounting data'!$G$2:$G$37000,'Accounting data'!$H$2:$H$37000,"9999*",'Accounting data'!$J$2:$J$37000,"23*",'Accounting data'!$K$2:$K$37000,"61*")</f>
        <v>0</v>
      </c>
    </row>
    <row r="25" spans="1:5" x14ac:dyDescent="0.2">
      <c r="A25" s="522" t="s">
        <v>991</v>
      </c>
      <c r="B25" s="522" t="s">
        <v>993</v>
      </c>
      <c r="C25" s="522">
        <v>2300</v>
      </c>
      <c r="D25" s="522">
        <v>6100</v>
      </c>
      <c r="E25" s="523">
        <f>SUMIFS('Accounting data'!$G$2:$G$37000,'Accounting data'!$I$2:$I$37000,"7*",'Accounting data'!$J$2:$J$37000,"23*",'Accounting data'!$K$2:$K$37000,"61*")+SUMIFS('Accounting data'!$G$2:$G$37000,'Accounting data'!$I$2:$I$37000,"8*",'Accounting data'!$J$2:$J$37000,"23*",'Accounting data'!$K$2:$K$37000,"61*")+SUMIFS('Accounting data'!$G$2:$G$37000,'Accounting data'!$I$2:$I$37000,"9*",'Accounting data'!$J$2:$J$37000,"23*",'Accounting data'!$K$2:$K$37000,"61*")</f>
        <v>0</v>
      </c>
    </row>
    <row r="26" spans="1:5" x14ac:dyDescent="0.2">
      <c r="A26" s="524" t="s">
        <v>992</v>
      </c>
      <c r="B26" s="522" t="s">
        <v>993</v>
      </c>
      <c r="C26" s="522">
        <v>2300</v>
      </c>
      <c r="D26" s="522">
        <v>6100</v>
      </c>
      <c r="E26" s="523">
        <f>SUMIFS('Accounting data'!$G$2:$G$37000,'Accounting data'!$H$2:$H$37000,"9999*",'Accounting data'!$I$2:$I$37000,"7*",'Accounting data'!$J$2:$J$37000,"23*",'Accounting data'!$K$2:$K$37000,"61*")+SUMIFS('Accounting data'!$G$2:$G$37000,'Accounting data'!$H$2:$H$37000,"9999*",'Accounting data'!$I$2:$I$37000,"8*",'Accounting data'!$J$2:$J$37000,"23*",'Accounting data'!$K$2:$K$37000,"61*")+SUMIFS('Accounting data'!$G$2:$G$37000,'Accounting data'!$H$2:$H$37000,"9999*",'Accounting data'!$I$2:$I$37000,"9*",'Accounting data'!$J$2:$J$37000,"23*",'Accounting data'!$K$2:$K$37000,"61*")</f>
        <v>0</v>
      </c>
    </row>
    <row r="27" spans="1:5" x14ac:dyDescent="0.2">
      <c r="A27" s="522"/>
      <c r="B27" s="522"/>
      <c r="C27" s="522"/>
      <c r="D27" s="522"/>
      <c r="E27" s="523"/>
    </row>
    <row r="28" spans="1:5" x14ac:dyDescent="0.2">
      <c r="A28" s="522"/>
      <c r="B28" s="522"/>
      <c r="C28" s="522"/>
      <c r="D28" s="522"/>
      <c r="E28" s="523"/>
    </row>
    <row r="29" spans="1:5" x14ac:dyDescent="0.2">
      <c r="A29" s="525" t="s">
        <v>997</v>
      </c>
      <c r="B29" s="525"/>
      <c r="C29" s="525"/>
      <c r="D29" s="525"/>
      <c r="E29" s="527">
        <f>(E23-E24-E25)+(E26+E27+E28)</f>
        <v>64470</v>
      </c>
    </row>
    <row r="30" spans="1:5" x14ac:dyDescent="0.2">
      <c r="A30" s="522" t="s">
        <v>991</v>
      </c>
      <c r="B30" s="522" t="s">
        <v>991</v>
      </c>
      <c r="C30" s="522">
        <v>2400</v>
      </c>
      <c r="D30" s="522">
        <v>6100</v>
      </c>
      <c r="E30" s="523">
        <f>SUMIFS('Accounting data'!$G$2:$G$37000,'Accounting data'!$J$2:$J$37000,"24*",'Accounting data'!$K$2:$K$37000,"61*")</f>
        <v>68036</v>
      </c>
    </row>
    <row r="31" spans="1:5" x14ac:dyDescent="0.2">
      <c r="A31" s="522" t="s">
        <v>992</v>
      </c>
      <c r="B31" s="522" t="s">
        <v>991</v>
      </c>
      <c r="C31" s="522">
        <v>2400</v>
      </c>
      <c r="D31" s="522">
        <v>6100</v>
      </c>
      <c r="E31" s="523">
        <f>SUMIFS('Accounting data'!$G$2:$G$37000,'Accounting data'!$H$2:$H$37000,"9999*",'Accounting data'!$J$2:$J$37000,"24*",'Accounting data'!$K$2:$K$37000,"61*")</f>
        <v>0</v>
      </c>
    </row>
    <row r="32" spans="1:5" x14ac:dyDescent="0.2">
      <c r="A32" s="522" t="s">
        <v>991</v>
      </c>
      <c r="B32" s="522" t="s">
        <v>993</v>
      </c>
      <c r="C32" s="522">
        <v>2400</v>
      </c>
      <c r="D32" s="522">
        <v>6100</v>
      </c>
      <c r="E32" s="523">
        <f>SUMIFS('Accounting data'!$G$2:$G$37000,'Accounting data'!$I$2:$I$37000,"7*",'Accounting data'!$J$2:$J$37000,"24*",'Accounting data'!$K$2:$K$37000,"61*")+SUMIFS('Accounting data'!$G$2:$G$37000,'Accounting data'!$I$2:$I$37000,"8*",'Accounting data'!$J$2:$J$37000,"24*",'Accounting data'!$K$2:$K$37000,"61*")+SUMIFS('Accounting data'!$G$2:$G$37000,'Accounting data'!$I$2:$I$37000,"9*",'Accounting data'!$J$2:$J$37000,"24*",'Accounting data'!$K$2:$K$37000,"61*")</f>
        <v>0</v>
      </c>
    </row>
    <row r="33" spans="1:5" x14ac:dyDescent="0.2">
      <c r="A33" s="524" t="s">
        <v>992</v>
      </c>
      <c r="B33" s="522" t="s">
        <v>993</v>
      </c>
      <c r="C33" s="522">
        <v>2400</v>
      </c>
      <c r="D33" s="522">
        <v>6100</v>
      </c>
      <c r="E33" s="523">
        <f>SUMIFS('Accounting data'!$G$2:$G$37000,'Accounting data'!$H$2:$H$37000,"9999*",'Accounting data'!$I$2:$I$37000,"7*",'Accounting data'!$J$2:$J$37000,"24*",'Accounting data'!$K$2:$K$37000,"61*")+SUMIFS('Accounting data'!$G$2:$G$37000,'Accounting data'!$H$2:$H$37000,"9999*",'Accounting data'!$I$2:$I$37000,"8*",'Accounting data'!$J$2:$J$37000,"24*",'Accounting data'!$K$2:$K$37000,"61*")+SUMIFS('Accounting data'!$G$2:$G$37000,'Accounting data'!$H$2:$H$37000,"9999*",'Accounting data'!$I$2:$I$37000,"9*",'Accounting data'!$J$2:$J$37000,"24*",'Accounting data'!$K$2:$K$37000,"61*")</f>
        <v>0</v>
      </c>
    </row>
    <row r="34" spans="1:5" x14ac:dyDescent="0.2">
      <c r="A34" s="522"/>
      <c r="B34" s="522"/>
      <c r="C34" s="522"/>
      <c r="D34" s="522"/>
      <c r="E34" s="523"/>
    </row>
    <row r="35" spans="1:5" x14ac:dyDescent="0.2">
      <c r="A35" s="522"/>
      <c r="B35" s="522"/>
      <c r="C35" s="522"/>
      <c r="D35" s="522"/>
      <c r="E35" s="523"/>
    </row>
    <row r="36" spans="1:5" ht="15" x14ac:dyDescent="0.25">
      <c r="A36" s="525" t="s">
        <v>998</v>
      </c>
      <c r="B36" s="525"/>
      <c r="C36" s="525"/>
      <c r="D36" s="525"/>
      <c r="E36" s="526">
        <f>(E30-E31-E32)+(E33+E34+E35)</f>
        <v>68036</v>
      </c>
    </row>
    <row r="37" spans="1:5" x14ac:dyDescent="0.2">
      <c r="A37" s="522" t="s">
        <v>991</v>
      </c>
      <c r="B37" s="522" t="s">
        <v>991</v>
      </c>
      <c r="C37" s="522">
        <v>2500</v>
      </c>
      <c r="D37" s="522">
        <v>6100</v>
      </c>
      <c r="E37" s="523">
        <f>SUMIFS('Accounting data'!$G$2:$G$37000,'Accounting data'!$J$2:$J$37000,"25*",'Accounting data'!$K$2:$K$37000,"61*")</f>
        <v>35292</v>
      </c>
    </row>
    <row r="38" spans="1:5" x14ac:dyDescent="0.2">
      <c r="A38" s="522" t="s">
        <v>992</v>
      </c>
      <c r="B38" s="522" t="s">
        <v>991</v>
      </c>
      <c r="C38" s="522">
        <v>2500</v>
      </c>
      <c r="D38" s="522">
        <v>6100</v>
      </c>
      <c r="E38" s="523">
        <f>SUMIFS('Accounting data'!$G$2:$G$37000,'Accounting data'!$H$2:$H$37000,"9999*",'Accounting data'!$J$2:$J$37000,"25*",'Accounting data'!$K$2:$K$37000,"61*")</f>
        <v>0</v>
      </c>
    </row>
    <row r="39" spans="1:5" x14ac:dyDescent="0.2">
      <c r="A39" s="522" t="s">
        <v>991</v>
      </c>
      <c r="B39" s="522" t="s">
        <v>993</v>
      </c>
      <c r="C39" s="522">
        <v>2500</v>
      </c>
      <c r="D39" s="522">
        <v>6100</v>
      </c>
      <c r="E39" s="523">
        <f>SUMIFS('Accounting data'!$G$2:$G$37000,'Accounting data'!$I$2:$I$37000,"7*",'Accounting data'!$J$2:$J$37000,"25*",'Accounting data'!$K$2:$K$37000,"61*")+SUMIFS('Accounting data'!$G$2:$G$37000,'Accounting data'!$I$2:$I$37000,"8*",'Accounting data'!$J$2:$J$37000,"25*",'Accounting data'!$K$2:$K$37000,"61*")+SUMIFS('Accounting data'!$G$2:$G$37000,'Accounting data'!$I$2:$I$37000,"9*",'Accounting data'!$J$2:$J$37000,"25*",'Accounting data'!$K$2:$K$37000,"61*")</f>
        <v>0</v>
      </c>
    </row>
    <row r="40" spans="1:5" x14ac:dyDescent="0.2">
      <c r="A40" s="524" t="s">
        <v>992</v>
      </c>
      <c r="B40" s="522" t="s">
        <v>993</v>
      </c>
      <c r="C40" s="522">
        <v>2500</v>
      </c>
      <c r="D40" s="522">
        <v>6100</v>
      </c>
      <c r="E40" s="523">
        <f>SUMIFS('Accounting data'!$G$2:$G$37000,'Accounting data'!$H$2:$H$37000,"9999*",'Accounting data'!$I$2:$I$37000,"7*",'Accounting data'!$J$2:$J$37000,"25*",'Accounting data'!$K$2:$K$37000,"61*")+SUMIFS('Accounting data'!$G$2:$G$37000,'Accounting data'!$H$2:$H$37000,"9999*",'Accounting data'!$I$2:$I$37000,"8*",'Accounting data'!$J$2:$J$37000,"25*",'Accounting data'!$K$2:$K$37000,"61*")+SUMIFS('Accounting data'!$G$2:$G$37000,'Accounting data'!$H$2:$H$37000,"9999*",'Accounting data'!$I$2:$I$37000,"9*",'Accounting data'!$J$2:$J$37000,"25*",'Accounting data'!$K$2:$K$37000,"61*")</f>
        <v>0</v>
      </c>
    </row>
    <row r="41" spans="1:5" x14ac:dyDescent="0.2">
      <c r="A41" s="522"/>
      <c r="B41" s="522"/>
      <c r="C41" s="522"/>
      <c r="D41" s="522"/>
      <c r="E41" s="523"/>
    </row>
    <row r="42" spans="1:5" x14ac:dyDescent="0.2">
      <c r="A42" s="522"/>
      <c r="B42" s="522"/>
      <c r="C42" s="522"/>
      <c r="D42" s="522"/>
      <c r="E42" s="523"/>
    </row>
    <row r="43" spans="1:5" ht="15" x14ac:dyDescent="0.25">
      <c r="A43" s="525" t="s">
        <v>999</v>
      </c>
      <c r="B43" s="525"/>
      <c r="C43" s="525"/>
      <c r="D43" s="525"/>
      <c r="E43" s="526">
        <f>(E37-E38-E39)+(E40+E41+E42)</f>
        <v>35292</v>
      </c>
    </row>
    <row r="44" spans="1:5" x14ac:dyDescent="0.2">
      <c r="A44" s="522" t="s">
        <v>991</v>
      </c>
      <c r="B44" s="522" t="s">
        <v>991</v>
      </c>
      <c r="C44" s="522">
        <v>2900</v>
      </c>
      <c r="D44" s="522">
        <v>6100</v>
      </c>
      <c r="E44" s="523">
        <f>SUMIFS('Accounting data'!$G$2:$G$37000,'Accounting data'!$J$2:$J$37000,"29*",'Accounting data'!$K$2:$K$37000,"61*")</f>
        <v>0</v>
      </c>
    </row>
    <row r="45" spans="1:5" x14ac:dyDescent="0.2">
      <c r="A45" s="522" t="s">
        <v>992</v>
      </c>
      <c r="B45" s="522" t="s">
        <v>991</v>
      </c>
      <c r="C45" s="522">
        <v>2900</v>
      </c>
      <c r="D45" s="522">
        <v>6100</v>
      </c>
      <c r="E45" s="523">
        <f>SUMIFS('Accounting data'!$G$2:$G$37000,'Accounting data'!$H$2:$H$37000,"9999*",'Accounting data'!$J$2:$J$37000,"29*",'Accounting data'!$K$2:$K$37000,"61*")</f>
        <v>0</v>
      </c>
    </row>
    <row r="46" spans="1:5" x14ac:dyDescent="0.2">
      <c r="A46" s="522" t="s">
        <v>991</v>
      </c>
      <c r="B46" s="522" t="s">
        <v>993</v>
      </c>
      <c r="C46" s="522">
        <v>2900</v>
      </c>
      <c r="D46" s="522">
        <v>6100</v>
      </c>
      <c r="E46" s="523">
        <f>SUMIFS('Accounting data'!$G$2:$G$37000,'Accounting data'!$I$2:$I$37000,"7*",'Accounting data'!$J$2:$J$37000,"29*",'Accounting data'!$K$2:$K$37000,"61*")+SUMIFS('Accounting data'!$G$2:$G$37000,'Accounting data'!$I$2:$I$37000,"8*",'Accounting data'!$J$2:$J$37000,"29*",'Accounting data'!$K$2:$K$37000,"61*")+SUMIFS('Accounting data'!$G$2:$G$37000,'Accounting data'!$I$2:$I$37000,"9*",'Accounting data'!$J$2:$J$37000,"29*",'Accounting data'!$K$2:$K$37000,"61*")</f>
        <v>0</v>
      </c>
    </row>
    <row r="47" spans="1:5" x14ac:dyDescent="0.2">
      <c r="A47" s="524" t="s">
        <v>992</v>
      </c>
      <c r="B47" s="522" t="s">
        <v>993</v>
      </c>
      <c r="C47" s="522">
        <v>2900</v>
      </c>
      <c r="D47" s="522">
        <v>6100</v>
      </c>
      <c r="E47" s="523">
        <f>SUMIFS('Accounting data'!$G$2:$G$37000,'Accounting data'!$H$2:$H$37000,"9999*",'Accounting data'!$I$2:$I$37000,"7*",'Accounting data'!$J$2:$J$37000,"29*",'Accounting data'!$K$2:$K$37000,"61*")+SUMIFS('Accounting data'!$G$2:$G$37000,'Accounting data'!$H$2:$H$37000,"9999*",'Accounting data'!$I$2:$I$37000,"8*",'Accounting data'!$J$2:$J$37000,"29*",'Accounting data'!$K$2:$K$37000,"61*")+SUMIFS('Accounting data'!$G$2:$G$37000,'Accounting data'!$H$2:$H$37000,"9999*",'Accounting data'!$I$2:$I$37000,"9*",'Accounting data'!$J$2:$J$37000,"29*",'Accounting data'!$K$2:$K$37000,"61*")</f>
        <v>0</v>
      </c>
    </row>
    <row r="50" spans="1:5" ht="15" x14ac:dyDescent="0.25">
      <c r="A50" s="525" t="s">
        <v>1000</v>
      </c>
      <c r="B50" s="525"/>
      <c r="C50" s="525"/>
      <c r="D50" s="525"/>
      <c r="E50" s="526">
        <f>(E44-E45-E46)+(E47+E48+E49)</f>
        <v>0</v>
      </c>
    </row>
    <row r="51" spans="1:5" x14ac:dyDescent="0.2">
      <c r="A51" s="522" t="s">
        <v>991</v>
      </c>
      <c r="B51" s="522" t="s">
        <v>991</v>
      </c>
      <c r="C51" s="522">
        <v>2600</v>
      </c>
      <c r="D51" s="522">
        <v>6100</v>
      </c>
      <c r="E51" s="523">
        <f>SUMIFS('Accounting data'!$G$2:$G$37000,'Accounting data'!$J$2:$J$37000,"26*",'Accounting data'!$K$2:$K$37000,"61*")</f>
        <v>0</v>
      </c>
    </row>
    <row r="52" spans="1:5" x14ac:dyDescent="0.2">
      <c r="A52" s="522" t="s">
        <v>992</v>
      </c>
      <c r="B52" s="522" t="s">
        <v>991</v>
      </c>
      <c r="C52" s="522">
        <v>2600</v>
      </c>
      <c r="D52" s="522">
        <v>6100</v>
      </c>
      <c r="E52" s="523">
        <f>SUMIFS('Accounting data'!$G$2:$G$37000,'Accounting data'!$H$2:$H$37000,"9999*",'Accounting data'!$J$2:$J$37000,"26*",'Accounting data'!$K$2:$K$37000,"61*")</f>
        <v>0</v>
      </c>
    </row>
    <row r="53" spans="1:5" x14ac:dyDescent="0.2">
      <c r="A53" s="522" t="s">
        <v>991</v>
      </c>
      <c r="B53" s="522" t="s">
        <v>993</v>
      </c>
      <c r="C53" s="522">
        <v>2600</v>
      </c>
      <c r="D53" s="522">
        <v>6100</v>
      </c>
      <c r="E53" s="523">
        <f>SUMIFS('Accounting data'!$G$2:$G$37000,'Accounting data'!$I$2:$I$37000,"7*",'Accounting data'!$J$2:$J$37000,"26*",'Accounting data'!$K$2:$K$37000,"61*")+SUMIFS('Accounting data'!$G$2:$G$37000,'Accounting data'!$I$2:$I$37000,"8*",'Accounting data'!$J$2:$J$37000,"26*",'Accounting data'!$K$2:$K$37000,"61*")+SUMIFS('Accounting data'!$G$2:$G$37000,'Accounting data'!$I$2:$I$37000,"9*",'Accounting data'!$J$2:$J$37000,"26*",'Accounting data'!$K$2:$K$37000,"61*")</f>
        <v>0</v>
      </c>
    </row>
    <row r="54" spans="1:5" x14ac:dyDescent="0.2">
      <c r="A54" s="524" t="s">
        <v>992</v>
      </c>
      <c r="B54" s="522" t="s">
        <v>993</v>
      </c>
      <c r="C54" s="522">
        <v>2600</v>
      </c>
      <c r="D54" s="522">
        <v>6100</v>
      </c>
      <c r="E54" s="523">
        <f>SUMIFS('Accounting data'!$G$2:$G$37000,'Accounting data'!$H$2:$H$37000,"9999*",'Accounting data'!$I$2:$I$37000,"7*",'Accounting data'!$J$2:$J$37000,"26*",'Accounting data'!$K$2:$K$37000,"61*")+SUMIFS('Accounting data'!$G$2:$G$37000,'Accounting data'!$H$2:$H$37000,"9999*",'Accounting data'!$I$2:$I$37000,"8*",'Accounting data'!$J$2:$J$37000,"26*",'Accounting data'!$K$2:$K$37000,"61*")+SUMIFS('Accounting data'!$G$2:$G$37000,'Accounting data'!$H$2:$H$37000,"9999*",'Accounting data'!$I$2:$I$37000,"9*",'Accounting data'!$J$2:$J$37000,"26*",'Accounting data'!$K$2:$K$37000,"61*")</f>
        <v>0</v>
      </c>
    </row>
    <row r="55" spans="1:5" x14ac:dyDescent="0.2">
      <c r="A55" s="522"/>
      <c r="B55" s="522"/>
      <c r="C55" s="522"/>
      <c r="D55" s="522"/>
      <c r="E55" s="523"/>
    </row>
    <row r="56" spans="1:5" x14ac:dyDescent="0.2">
      <c r="A56" s="522"/>
      <c r="B56" s="522"/>
      <c r="C56" s="522"/>
      <c r="D56" s="522"/>
      <c r="E56" s="523"/>
    </row>
    <row r="57" spans="1:5" ht="15" x14ac:dyDescent="0.25">
      <c r="A57" s="525" t="s">
        <v>1001</v>
      </c>
      <c r="B57" s="525"/>
      <c r="C57" s="525"/>
      <c r="D57" s="525"/>
      <c r="E57" s="526">
        <f>(E51-E52-E53)+(E54+E55+E56)</f>
        <v>0</v>
      </c>
    </row>
    <row r="58" spans="1:5" x14ac:dyDescent="0.2">
      <c r="A58" s="522" t="s">
        <v>991</v>
      </c>
      <c r="B58" s="522" t="s">
        <v>991</v>
      </c>
      <c r="C58" s="522">
        <v>2700</v>
      </c>
      <c r="D58" s="522">
        <v>6100</v>
      </c>
      <c r="E58" s="523">
        <f>SUMIFS('Accounting data'!$G$2:$G$37000,'Accounting data'!$J$2:$J$37000,"27*",'Accounting data'!$K$2:$K$37000,"61*")</f>
        <v>0</v>
      </c>
    </row>
    <row r="59" spans="1:5" x14ac:dyDescent="0.2">
      <c r="A59" s="522" t="s">
        <v>992</v>
      </c>
      <c r="B59" s="522" t="s">
        <v>991</v>
      </c>
      <c r="C59" s="522">
        <v>2700</v>
      </c>
      <c r="D59" s="522">
        <v>6100</v>
      </c>
      <c r="E59" s="523">
        <f>SUMIFS('Accounting data'!$G$2:$G$37000,'Accounting data'!$H$2:$H$37000,"9999*",'Accounting data'!$J$2:$J$37000,"27*",'Accounting data'!$K$2:$K$37000,"61*")</f>
        <v>0</v>
      </c>
    </row>
    <row r="60" spans="1:5" x14ac:dyDescent="0.2">
      <c r="A60" s="522" t="s">
        <v>991</v>
      </c>
      <c r="B60" s="522" t="s">
        <v>993</v>
      </c>
      <c r="C60" s="522">
        <v>2700</v>
      </c>
      <c r="D60" s="522">
        <v>6100</v>
      </c>
      <c r="E60" s="523">
        <f>SUMIFS('Accounting data'!$G$2:$G$37000,'Accounting data'!$I$2:$I$37000,"7*",'Accounting data'!$J$2:$J$37000,"27*",'Accounting data'!$K$2:$K$37000,"61*")+SUMIFS('Accounting data'!$G$2:$G$37000,'Accounting data'!$I$2:$I$37000,"8*",'Accounting data'!$J$2:$J$37000,"27*",'Accounting data'!$K$2:$K$37000,"61*")+SUMIFS('Accounting data'!$G$2:$G$37000,'Accounting data'!$I$2:$I$37000,"9*",'Accounting data'!$J$2:$J$37000,"27*",'Accounting data'!$K$2:$K$37000,"61*")</f>
        <v>0</v>
      </c>
    </row>
    <row r="61" spans="1:5" x14ac:dyDescent="0.2">
      <c r="A61" s="524" t="s">
        <v>992</v>
      </c>
      <c r="B61" s="522" t="s">
        <v>993</v>
      </c>
      <c r="C61" s="522">
        <v>2700</v>
      </c>
      <c r="D61" s="522">
        <v>6100</v>
      </c>
      <c r="E61" s="523">
        <f>SUMIFS('Accounting data'!$G$2:$G$37000,'Accounting data'!$H$2:$H$37000,"9999*",'Accounting data'!$I$2:$I$37000,"7*",'Accounting data'!$J$2:$J$37000,"27*",'Accounting data'!$K$2:$K$37000,"61*")+SUMIFS('Accounting data'!$G$2:$G$37000,'Accounting data'!$H$2:$H$37000,"9999*",'Accounting data'!$I$2:$I$37000,"8*",'Accounting data'!$J$2:$J$37000,"27*",'Accounting data'!$K$2:$K$37000,"61*")+SUMIFS('Accounting data'!$G$2:$G$37000,'Accounting data'!$H$2:$H$37000,"9999*",'Accounting data'!$I$2:$I$37000,"9*",'Accounting data'!$J$2:$J$37000,"27*",'Accounting data'!$K$2:$K$37000,"61*")</f>
        <v>0</v>
      </c>
    </row>
    <row r="62" spans="1:5" x14ac:dyDescent="0.2">
      <c r="A62" s="522"/>
      <c r="B62" s="522"/>
      <c r="C62" s="522"/>
      <c r="D62" s="522"/>
      <c r="E62" s="523"/>
    </row>
    <row r="63" spans="1:5" x14ac:dyDescent="0.2">
      <c r="A63" s="522"/>
      <c r="B63" s="522"/>
      <c r="C63" s="522"/>
      <c r="D63" s="522"/>
      <c r="E63" s="523"/>
    </row>
    <row r="64" spans="1:5" ht="15" x14ac:dyDescent="0.25">
      <c r="A64" s="525" t="s">
        <v>1002</v>
      </c>
      <c r="B64" s="525"/>
      <c r="C64" s="525"/>
      <c r="D64" s="525"/>
      <c r="E64" s="526">
        <f>(E58-E59-E60)+(E61+E62+E63)</f>
        <v>0</v>
      </c>
    </row>
    <row r="65" spans="1:5" x14ac:dyDescent="0.2">
      <c r="A65" s="522" t="s">
        <v>991</v>
      </c>
      <c r="B65" s="522" t="s">
        <v>991</v>
      </c>
      <c r="C65" s="522">
        <v>3100</v>
      </c>
      <c r="D65" s="522">
        <v>6100</v>
      </c>
      <c r="E65" s="523">
        <f>SUMIFS('Accounting data'!$G$2:$G$37000,'Accounting data'!$J$2:$J$37000,"31*",'Accounting data'!$K$2:$K$37000,"61*")</f>
        <v>0</v>
      </c>
    </row>
    <row r="66" spans="1:5" x14ac:dyDescent="0.2">
      <c r="A66" s="522" t="s">
        <v>992</v>
      </c>
      <c r="B66" s="522" t="s">
        <v>991</v>
      </c>
      <c r="C66" s="522">
        <v>3100</v>
      </c>
      <c r="D66" s="522">
        <v>6100</v>
      </c>
      <c r="E66" s="523">
        <f>SUMIFS('Accounting data'!$G$2:$G$37000,'Accounting data'!$H$2:$H$37000,"9999*",'Accounting data'!$J$2:$J$37000,"31*",'Accounting data'!$K$2:$K$37000,"61*")</f>
        <v>0</v>
      </c>
    </row>
    <row r="67" spans="1:5" x14ac:dyDescent="0.2">
      <c r="A67" s="522" t="s">
        <v>991</v>
      </c>
      <c r="B67" s="522" t="s">
        <v>993</v>
      </c>
      <c r="C67" s="522">
        <v>3100</v>
      </c>
      <c r="D67" s="522">
        <v>6100</v>
      </c>
      <c r="E67" s="523">
        <f>SUMIFS('Accounting data'!$G$2:$G$37000,'Accounting data'!$I$2:$I$37000,"7*",'Accounting data'!$J$2:$J$37000,"31*",'Accounting data'!$K$2:$K$37000,"61*")+SUMIFS('Accounting data'!$G$2:$G$37000,'Accounting data'!$I$2:$I$37000,"8*",'Accounting data'!$J$2:$J$37000,"31*",'Accounting data'!$K$2:$K$37000,"61*")+SUMIFS('Accounting data'!$G$2:$G$37000,'Accounting data'!$I$2:$I$37000,"9*",'Accounting data'!$J$2:$J$37000,"31*",'Accounting data'!$K$2:$K$37000,"61*")</f>
        <v>0</v>
      </c>
    </row>
    <row r="68" spans="1:5" x14ac:dyDescent="0.2">
      <c r="A68" s="524" t="s">
        <v>992</v>
      </c>
      <c r="B68" s="522" t="s">
        <v>993</v>
      </c>
      <c r="C68" s="522">
        <v>3100</v>
      </c>
      <c r="D68" s="522">
        <v>6100</v>
      </c>
      <c r="E68" s="523">
        <f>SUMIFS('Accounting data'!$G$2:$G$37000,'Accounting data'!$H$2:$H$37000,"9999*",'Accounting data'!$I$2:$I$37000,"7*",'Accounting data'!$J$2:$J$37000,"31*",'Accounting data'!$K$2:$K$37000,"61*")+SUMIFS('Accounting data'!$G$2:$G$37000,'Accounting data'!$H$2:$H$37000,"9999*",'Accounting data'!$I$2:$I$37000,"8*",'Accounting data'!$J$2:$J$37000,"31*",'Accounting data'!$K$2:$K$37000,"61*")+SUMIFS('Accounting data'!$G$2:$G$37000,'Accounting data'!$H$2:$H$37000,"9999*",'Accounting data'!$I$2:$I$37000,"9*",'Accounting data'!$J$2:$J$37000,"31*",'Accounting data'!$K$2:$K$37000,"61*")</f>
        <v>0</v>
      </c>
    </row>
    <row r="69" spans="1:5" x14ac:dyDescent="0.2">
      <c r="A69" s="522"/>
      <c r="B69" s="522"/>
      <c r="C69" s="522"/>
      <c r="D69" s="522"/>
      <c r="E69" s="523"/>
    </row>
    <row r="70" spans="1:5" x14ac:dyDescent="0.2">
      <c r="A70" s="522"/>
      <c r="B70" s="522"/>
      <c r="C70" s="522"/>
      <c r="D70" s="522"/>
      <c r="E70" s="523"/>
    </row>
    <row r="71" spans="1:5" ht="15" x14ac:dyDescent="0.25">
      <c r="A71" s="525" t="s">
        <v>1003</v>
      </c>
      <c r="B71" s="525"/>
      <c r="C71" s="525"/>
      <c r="D71" s="525"/>
      <c r="E71" s="526">
        <f>(E65-E66-E67)+(E68+E69+E70)</f>
        <v>0</v>
      </c>
    </row>
    <row r="72" spans="1:5" x14ac:dyDescent="0.2">
      <c r="A72" s="522"/>
      <c r="B72" s="522"/>
      <c r="C72" s="522"/>
      <c r="D72" s="522"/>
      <c r="E72" s="523"/>
    </row>
    <row r="73" spans="1:5" x14ac:dyDescent="0.2">
      <c r="A73" s="522"/>
      <c r="B73" s="522"/>
      <c r="C73" s="522"/>
      <c r="D73" s="522"/>
      <c r="E73" s="523"/>
    </row>
    <row r="74" spans="1:5" x14ac:dyDescent="0.2">
      <c r="A74" s="522"/>
      <c r="B74" s="522"/>
      <c r="C74" s="522"/>
      <c r="D74" s="522"/>
      <c r="E74" s="523"/>
    </row>
    <row r="75" spans="1:5" x14ac:dyDescent="0.2">
      <c r="A75" s="524"/>
      <c r="B75" s="522"/>
      <c r="C75" s="522"/>
      <c r="D75" s="522"/>
      <c r="E75" s="523"/>
    </row>
    <row r="76" spans="1:5" x14ac:dyDescent="0.2">
      <c r="A76" s="522"/>
      <c r="B76" s="522"/>
      <c r="C76" s="522"/>
      <c r="D76" s="522"/>
      <c r="E76" s="523"/>
    </row>
    <row r="77" spans="1:5" x14ac:dyDescent="0.2">
      <c r="A77" s="522"/>
      <c r="B77" s="522"/>
      <c r="C77" s="522"/>
      <c r="D77" s="522"/>
      <c r="E77" s="523"/>
    </row>
    <row r="78" spans="1:5" ht="15" x14ac:dyDescent="0.25">
      <c r="A78" s="525"/>
      <c r="B78" s="525"/>
      <c r="C78" s="525"/>
      <c r="D78" s="525"/>
      <c r="E78" s="526"/>
    </row>
    <row r="79" spans="1:5" x14ac:dyDescent="0.2">
      <c r="A79" s="522" t="s">
        <v>991</v>
      </c>
      <c r="B79" s="522" t="s">
        <v>991</v>
      </c>
      <c r="C79" s="522">
        <v>3400</v>
      </c>
      <c r="D79" s="522">
        <v>6100</v>
      </c>
      <c r="E79" s="523">
        <f>SUMIFS('Accounting data'!$G$2:$G$37000,'Accounting data'!$J$2:$J$37000,"34*",'Accounting data'!$K$2:$K$37000,"61*")</f>
        <v>0</v>
      </c>
    </row>
    <row r="80" spans="1:5" x14ac:dyDescent="0.2">
      <c r="A80" s="522" t="s">
        <v>992</v>
      </c>
      <c r="B80" s="522" t="s">
        <v>991</v>
      </c>
      <c r="C80" s="522">
        <v>3400</v>
      </c>
      <c r="D80" s="522">
        <v>6100</v>
      </c>
      <c r="E80" s="523">
        <f>SUMIFS('Accounting data'!$G$2:$G$37000,'Accounting data'!$H$2:$H$37000,"9999*",'Accounting data'!$J$2:$J$37000,"34*",'Accounting data'!$K$2:$K$37000,"61*")</f>
        <v>0</v>
      </c>
    </row>
    <row r="81" spans="1:5" x14ac:dyDescent="0.2">
      <c r="A81" s="522" t="s">
        <v>991</v>
      </c>
      <c r="B81" s="522" t="s">
        <v>993</v>
      </c>
      <c r="C81" s="522">
        <v>3400</v>
      </c>
      <c r="D81" s="522">
        <v>6100</v>
      </c>
      <c r="E81" s="523">
        <f>SUMIFS('Accounting data'!$G$2:$G$37000,'Accounting data'!$I$2:$I$37000,"7*",'Accounting data'!$J$2:$J$37000,"34*",'Accounting data'!$K$2:$K$37000,"61*")+SUMIFS('Accounting data'!$G$2:$G$37000,'Accounting data'!$I$2:$I$37000,"8*",'Accounting data'!$J$2:$J$37000,"34*",'Accounting data'!$K$2:$K$37000,"61*")+SUMIFS('Accounting data'!$G$2:$G$37000,'Accounting data'!$I$2:$I$37000,"9*",'Accounting data'!$J$2:$J$37000,"34*",'Accounting data'!$K$2:$K$37000,"61*")</f>
        <v>0</v>
      </c>
    </row>
    <row r="82" spans="1:5" x14ac:dyDescent="0.2">
      <c r="A82" s="524" t="s">
        <v>992</v>
      </c>
      <c r="B82" s="522" t="s">
        <v>993</v>
      </c>
      <c r="C82" s="522">
        <v>3400</v>
      </c>
      <c r="D82" s="522">
        <v>6100</v>
      </c>
      <c r="E82" s="523">
        <f>SUMIFS('Accounting data'!$G$2:$G$37000,'Accounting data'!$H$2:$H$37000,"9999*",'Accounting data'!$I$2:$I$37000,"7*",'Accounting data'!$J$2:$J$37000,"34*",'Accounting data'!$K$2:$K$37000,"61*")+SUMIFS('Accounting data'!$G$2:$G$37000,'Accounting data'!$H$2:$H$37000,"9999*",'Accounting data'!$I$2:$I$37000,"8*",'Accounting data'!$J$2:$J$37000,"34*",'Accounting data'!$K$2:$K$37000,"61*")+SUMIFS('Accounting data'!$G$2:$G$37000,'Accounting data'!$H$2:$H$37000,"9999*",'Accounting data'!$I$2:$I$37000,"9*",'Accounting data'!$J$2:$J$37000,"34*",'Accounting data'!$K$2:$K$37000,"61*")</f>
        <v>0</v>
      </c>
    </row>
    <row r="83" spans="1:5" x14ac:dyDescent="0.2">
      <c r="A83" s="522"/>
      <c r="B83" s="522"/>
      <c r="C83" s="522"/>
      <c r="D83" s="522"/>
      <c r="E83" s="523"/>
    </row>
    <row r="84" spans="1:5" x14ac:dyDescent="0.2">
      <c r="A84" s="522"/>
      <c r="B84" s="522"/>
      <c r="C84" s="522"/>
      <c r="D84" s="522"/>
      <c r="E84" s="523"/>
    </row>
    <row r="85" spans="1:5" ht="15" x14ac:dyDescent="0.25">
      <c r="A85" s="525" t="s">
        <v>1004</v>
      </c>
      <c r="B85" s="525"/>
      <c r="C85" s="525"/>
      <c r="D85" s="525"/>
      <c r="E85" s="526">
        <f>(E79-E80-E81)+(E82+E83+E84)</f>
        <v>0</v>
      </c>
    </row>
    <row r="86" spans="1:5" x14ac:dyDescent="0.2">
      <c r="A86" s="522" t="s">
        <v>991</v>
      </c>
      <c r="B86" s="522" t="s">
        <v>991</v>
      </c>
      <c r="C86" s="522">
        <v>4000</v>
      </c>
      <c r="D86" s="522">
        <v>6100</v>
      </c>
      <c r="E86" s="523">
        <f>SUMIFS('Accounting data'!$G$2:$G$37000,'Accounting data'!$J$2:$J$37000,"4*",'Accounting data'!$K$2:$K$37000,"61*")</f>
        <v>0</v>
      </c>
    </row>
    <row r="87" spans="1:5" x14ac:dyDescent="0.2">
      <c r="A87" s="522" t="s">
        <v>992</v>
      </c>
      <c r="B87" s="522" t="s">
        <v>991</v>
      </c>
      <c r="C87" s="522">
        <v>4000</v>
      </c>
      <c r="D87" s="522">
        <v>6100</v>
      </c>
      <c r="E87" s="523">
        <f>SUMIFS('Accounting data'!$G$2:$G$37000,'Accounting data'!$H$2:$H$37000,"9999*",'Accounting data'!$J$2:$J$37000,"4*",'Accounting data'!$K$2:$K$37000,"61*")</f>
        <v>0</v>
      </c>
    </row>
    <row r="88" spans="1:5" x14ac:dyDescent="0.2">
      <c r="A88" s="522" t="s">
        <v>991</v>
      </c>
      <c r="B88" s="522" t="s">
        <v>993</v>
      </c>
      <c r="C88" s="522">
        <v>4000</v>
      </c>
      <c r="D88" s="522">
        <v>6100</v>
      </c>
      <c r="E88" s="523">
        <f>SUMIFS('Accounting data'!$G$2:$G$37000,'Accounting data'!$I$2:$I$37000,"7*",'Accounting data'!$J$2:$J$37000,"4*",'Accounting data'!$K$2:$K$37000,"61*")+SUMIFS('Accounting data'!$G$2:$G$37000,'Accounting data'!$I$2:$I$37000,"8*",'Accounting data'!$J$2:$J$37000,"4*",'Accounting data'!$K$2:$K$37000,"61*")+SUMIFS('Accounting data'!$G$2:$G$37000,'Accounting data'!$I$2:$I$37000,"9*",'Accounting data'!$J$2:$J$37000,"4*",'Accounting data'!$K$2:$K$37000,"61*")</f>
        <v>0</v>
      </c>
    </row>
    <row r="89" spans="1:5" x14ac:dyDescent="0.2">
      <c r="A89" s="524" t="s">
        <v>992</v>
      </c>
      <c r="B89" s="522" t="s">
        <v>993</v>
      </c>
      <c r="C89" s="522">
        <v>4000</v>
      </c>
      <c r="D89" s="522">
        <v>6100</v>
      </c>
      <c r="E89" s="523">
        <f>SUMIFS('Accounting data'!$G$2:$G$37000,'Accounting data'!$H$2:$H$37000,"9999*",'Accounting data'!$I$2:$I$37000,"7*",'Accounting data'!$J$2:$J$37000,"4*",'Accounting data'!$K$2:$K$37000,"61*")+SUMIFS('Accounting data'!$G$2:$G$37000,'Accounting data'!$H$2:$H$37000,"9999*",'Accounting data'!$I$2:$I$37000,"8*",'Accounting data'!$J$2:$J$37000,"4*",'Accounting data'!$K$2:$K$37000,"61*")+SUMIFS('Accounting data'!$G$2:$G$37000,'Accounting data'!$H$2:$H$37000,"9999*",'Accounting data'!$I$2:$I$37000,"9*",'Accounting data'!$J$2:$J$37000,"4*",'Accounting data'!$K$2:$K$37000,"61*")</f>
        <v>0</v>
      </c>
    </row>
    <row r="90" spans="1:5" x14ac:dyDescent="0.2">
      <c r="A90" s="522"/>
      <c r="B90" s="522"/>
      <c r="C90" s="522"/>
      <c r="D90" s="522"/>
      <c r="E90" s="523"/>
    </row>
    <row r="91" spans="1:5" x14ac:dyDescent="0.2">
      <c r="A91" s="522"/>
      <c r="B91" s="522"/>
      <c r="C91" s="522"/>
      <c r="D91" s="522"/>
      <c r="E91" s="523"/>
    </row>
    <row r="92" spans="1:5" ht="15" x14ac:dyDescent="0.25">
      <c r="A92" s="525" t="s">
        <v>1005</v>
      </c>
      <c r="B92" s="525"/>
      <c r="C92" s="525"/>
      <c r="D92" s="525"/>
      <c r="E92" s="526">
        <f>(E86-E87-E88)+(E89+E90+E91)</f>
        <v>0</v>
      </c>
    </row>
    <row r="93" spans="1:5" ht="15" x14ac:dyDescent="0.25">
      <c r="A93" s="528" t="s">
        <v>1006</v>
      </c>
      <c r="B93" s="528"/>
      <c r="C93" s="528"/>
      <c r="D93" s="528"/>
      <c r="E93" s="529">
        <f>E8+E15+E22+E29+E36+E43+E50+E57+E64+E71+E78+E85</f>
        <v>606954</v>
      </c>
    </row>
    <row r="94" spans="1:5" x14ac:dyDescent="0.2">
      <c r="A94" s="522" t="s">
        <v>1007</v>
      </c>
      <c r="B94" s="522" t="s">
        <v>991</v>
      </c>
      <c r="C94" s="522">
        <v>1000</v>
      </c>
      <c r="D94" s="522">
        <v>6100</v>
      </c>
      <c r="E94" s="523">
        <f>SUMIFS('Accounting data'!$G$2:$G$37000,'Accounting data'!$H$2:$H$37000,"11*",'Accounting data'!$J$2:$J$37000,"1*",'Accounting data'!$K$2:$K$37000,"61*")+SUMIFS('Accounting data'!$G$2:$G$37000,'Accounting data'!$H$2:$H$37000,"12*",'Accounting data'!$J$2:$J$37000,"1*",'Accounting data'!$K$2:$K$37000,"61*")+SUMIFS('Accounting data'!$G$2:$G$37000,'Accounting data'!$H$2:$H$37000,"13*",'Accounting data'!$J$2:$J$37000,"1*",'Accounting data'!$K$2:$K$37000,"61*")</f>
        <v>0</v>
      </c>
    </row>
    <row r="95" spans="1:5" x14ac:dyDescent="0.2">
      <c r="A95" s="522" t="s">
        <v>1007</v>
      </c>
      <c r="B95" s="522" t="s">
        <v>991</v>
      </c>
      <c r="C95" s="522">
        <v>2000</v>
      </c>
      <c r="D95" s="522">
        <v>6100</v>
      </c>
      <c r="E95" s="523">
        <f>SUMIFS('Accounting data'!$G$2:$G$37000,'Accounting data'!$H$2:$H$37000,"11*",'Accounting data'!$J$2:$J$37000,"2*",'Accounting data'!$K$2:$K$37000,"61*")+SUMIFS('Accounting data'!$G$2:$G$37000,'Accounting data'!$H$2:$H$37000,"12*",'Accounting data'!$J$2:$J$37000,"2*",'Accounting data'!$K$2:$K$37000,"61*")+SUMIFS('Accounting data'!$G$2:$G$37000,'Accounting data'!$H$2:$H$37000,"13*",'Accounting data'!$J$2:$J$37000,"2*",'Accounting data'!$K$2:$K$37000,"61*")</f>
        <v>0</v>
      </c>
    </row>
    <row r="96" spans="1:5" x14ac:dyDescent="0.2">
      <c r="A96" s="522" t="s">
        <v>1007</v>
      </c>
      <c r="B96" s="522" t="s">
        <v>991</v>
      </c>
      <c r="C96" s="522">
        <v>3000</v>
      </c>
      <c r="D96" s="522">
        <v>6100</v>
      </c>
      <c r="E96" s="523">
        <f>SUMIFS('Accounting data'!$G$2:$G$37000,'Accounting data'!$H$2:$H$37000,"11*",'Accounting data'!$J$2:$J$37000,"3*",'Accounting data'!$K$2:$K$37000,"61*")+SUMIFS('Accounting data'!$G$2:$G$37000,'Accounting data'!$H$2:$H$37000,"12*",'Accounting data'!$J$2:$J$37000,"3*",'Accounting data'!$K$2:$K$37000,"61*")+SUMIFS('Accounting data'!$G$2:$G$37000,'Accounting data'!$H$2:$H$37000,"13*",'Accounting data'!$J$2:$J$37000,"3*",'Accounting data'!$K$2:$K$37000,"61*")</f>
        <v>0</v>
      </c>
    </row>
    <row r="97" spans="1:5" x14ac:dyDescent="0.2">
      <c r="A97" s="522" t="s">
        <v>1007</v>
      </c>
      <c r="B97" s="524">
        <v>700</v>
      </c>
      <c r="C97" s="522">
        <v>1000</v>
      </c>
      <c r="D97" s="522">
        <v>6100</v>
      </c>
      <c r="E97" s="523">
        <f>SUMIFS('Accounting data'!$G$2:$G$37000,'Accounting data'!$H$2:$H$37000,"11*",'Accounting data'!$I$2:$I$37000,"7*",'Accounting data'!$J$2:$J$37000,"1*",'Accounting data'!$K$2:$K$37000,"61*")+SUMIFS('Accounting data'!$G$2:$G$37000,'Accounting data'!$H$2:$H$37000,"12*",'Accounting data'!$I$2:$I$37000,"7*",'Accounting data'!$J$2:$J$37000,"1*",'Accounting data'!$K$2:$K$37000,"61*")+SUMIFS('Accounting data'!$G$2:$G$37000,'Accounting data'!$H$2:$H$37000,"13*",'Accounting data'!$I$2:$I$37000,"7*",'Accounting data'!$J$2:$J$37000,"1*",'Accounting data'!$K$2:$K$37000,"61*")</f>
        <v>0</v>
      </c>
    </row>
    <row r="98" spans="1:5" x14ac:dyDescent="0.2">
      <c r="A98" s="522" t="s">
        <v>1007</v>
      </c>
      <c r="B98" s="524">
        <v>800</v>
      </c>
      <c r="C98" s="522">
        <v>1000</v>
      </c>
      <c r="D98" s="522">
        <v>6100</v>
      </c>
      <c r="E98" s="523">
        <f>SUMIFS('Accounting data'!$G$2:$G$37000,'Accounting data'!$H$2:$H$37000,"11*",'Accounting data'!$I$2:$I$37000,"8*",'Accounting data'!$J$2:$J$37000,"1*",'Accounting data'!$K$2:$K$37000,"61*")+SUMIFS('Accounting data'!$G$2:$G$37000,'Accounting data'!$H$2:$H$37000,"12*",'Accounting data'!$I$2:$I$37000,"8*",'Accounting data'!$J$2:$J$37000,"1*",'Accounting data'!$K$2:$K$37000,"61*")+SUMIFS('Accounting data'!$G$2:$G$37000,'Accounting data'!$H$2:$H$37000,"13*",'Accounting data'!$I$2:$I$37000,"8*",'Accounting data'!$J$2:$J$37000,"1*",'Accounting data'!$K$2:$K$37000,"61*")</f>
        <v>0</v>
      </c>
    </row>
    <row r="99" spans="1:5" x14ac:dyDescent="0.2">
      <c r="A99" s="522" t="s">
        <v>1007</v>
      </c>
      <c r="B99" s="524">
        <v>900</v>
      </c>
      <c r="C99" s="522">
        <v>1000</v>
      </c>
      <c r="D99" s="522">
        <v>6100</v>
      </c>
      <c r="E99" s="523">
        <f>SUMIFS('Accounting data'!$G$2:$G$37000,'Accounting data'!$H$2:$H$37000,"11*",'Accounting data'!$I$2:$I$37000,"9*",'Accounting data'!$J$2:$J$37000,"1*",'Accounting data'!$K$2:$K$37000,"61*")+SUMIFS('Accounting data'!$G$2:$G$37000,'Accounting data'!$H$2:$H$37000,"12*",'Accounting data'!$I$2:$I$37000,"9*",'Accounting data'!$J$2:$J$37000,"1*",'Accounting data'!$K$2:$K$37000,"61*")+SUMIFS('Accounting data'!$G$2:$G$37000,'Accounting data'!$H$2:$H$37000,"13*",'Accounting data'!$I$2:$I$37000,"9*",'Accounting data'!$J$2:$J$37000,"1*",'Accounting data'!$K$2:$K$37000,"61*")</f>
        <v>0</v>
      </c>
    </row>
    <row r="100" spans="1:5" x14ac:dyDescent="0.2">
      <c r="A100" s="522" t="s">
        <v>1007</v>
      </c>
      <c r="B100" s="524">
        <v>700</v>
      </c>
      <c r="C100" s="522">
        <v>2000</v>
      </c>
      <c r="D100" s="522">
        <v>6100</v>
      </c>
      <c r="E100" s="523">
        <f>SUMIFS('Accounting data'!$G$2:$G$37000,'Accounting data'!$H$2:$H$37000,"11*",'Accounting data'!$I$2:$I$37000,"7*",'Accounting data'!$J$2:$J$37000,"2*",'Accounting data'!$K$2:$K$37000,"61*")+SUMIFS('Accounting data'!$G$2:$G$37000,'Accounting data'!$H$2:$H$37000,"12*",'Accounting data'!$I$2:$I$37000,"7*",'Accounting data'!$J$2:$J$37000,"2*",'Accounting data'!$K$2:$K$37000,"61*")+SUMIFS('Accounting data'!$G$2:$G$37000,'Accounting data'!$H$2:$H$37000,"13*",'Accounting data'!$I$2:$I$37000,"7*",'Accounting data'!$J$2:$J$37000,"2*",'Accounting data'!$K$2:$K$37000,"61*")</f>
        <v>0</v>
      </c>
    </row>
    <row r="101" spans="1:5" x14ac:dyDescent="0.2">
      <c r="A101" s="522" t="s">
        <v>1007</v>
      </c>
      <c r="B101" s="524">
        <v>800</v>
      </c>
      <c r="C101" s="522">
        <v>2000</v>
      </c>
      <c r="D101" s="522">
        <v>6100</v>
      </c>
      <c r="E101" s="523">
        <f>SUMIFS('Accounting data'!$G$2:$G$37000,'Accounting data'!$H$2:$H$37000,"11*",'Accounting data'!$I$2:$I$37000,"8*",'Accounting data'!$J$2:$J$37000,"2*",'Accounting data'!$K$2:$K$37000,"61*")+SUMIFS('Accounting data'!$G$2:$G$37000,'Accounting data'!$H$2:$H$37000,"12*",'Accounting data'!$I$2:$I$37000,"8*",'Accounting data'!$J$2:$J$37000,"2*",'Accounting data'!$K$2:$K$37000,"61*")+SUMIFS('Accounting data'!$G$2:$G$37000,'Accounting data'!$H$2:$H$37000,"13*",'Accounting data'!$I$2:$I$37000,"8*",'Accounting data'!$J$2:$J$37000,"2*",'Accounting data'!$K$2:$K$37000,"61*")</f>
        <v>0</v>
      </c>
    </row>
    <row r="102" spans="1:5" x14ac:dyDescent="0.2">
      <c r="A102" s="522" t="s">
        <v>1007</v>
      </c>
      <c r="B102" s="524">
        <v>900</v>
      </c>
      <c r="C102" s="522">
        <v>2000</v>
      </c>
      <c r="D102" s="522">
        <v>6100</v>
      </c>
      <c r="E102" s="523">
        <f>SUMIFS('Accounting data'!$G$2:$G$37000,'Accounting data'!$H$2:$H$37000,"11*",'Accounting data'!$I$2:$I$37000,"9*",'Accounting data'!$J$2:$J$37000,"2*",'Accounting data'!$K$2:$K$37000,"61*")+SUMIFS('Accounting data'!$G$2:$G$37000,'Accounting data'!$H$2:$H$37000,"12*",'Accounting data'!$I$2:$I$37000,"9*",'Accounting data'!$J$2:$J$37000,"2*",'Accounting data'!$K$2:$K$37000,"61*")+SUMIFS('Accounting data'!$G$2:$G$37000,'Accounting data'!$H$2:$H$37000,"13*",'Accounting data'!$I$2:$I$37000,"9*",'Accounting data'!$J$2:$J$37000,"2*",'Accounting data'!$K$2:$K$37000,"61*")</f>
        <v>0</v>
      </c>
    </row>
    <row r="103" spans="1:5" x14ac:dyDescent="0.2">
      <c r="A103" s="522" t="s">
        <v>1007</v>
      </c>
      <c r="B103" s="524">
        <v>700</v>
      </c>
      <c r="C103" s="522">
        <v>3000</v>
      </c>
      <c r="D103" s="522">
        <v>6100</v>
      </c>
      <c r="E103" s="523">
        <f>SUMIFS('Accounting data'!$G$2:$G$37000,'Accounting data'!$H$2:$H$37000,"11*",'Accounting data'!$I$2:$I$37000,"7*",'Accounting data'!$J$2:$J$37000,"3*",'Accounting data'!$K$2:$K$37000,"61*")+SUMIFS('Accounting data'!$G$2:$G$37000,'Accounting data'!$H$2:$H$37000,"12*",'Accounting data'!$I$2:$I$37000,"7*",'Accounting data'!$J$2:$J$37000,"3*",'Accounting data'!$K$2:$K$37000,"61*")+SUMIFS('Accounting data'!$G$2:$G$37000,'Accounting data'!$H$2:$H$37000,"13*",'Accounting data'!$I$2:$I$37000,"7*",'Accounting data'!$J$2:$J$37000,"3*",'Accounting data'!$K$2:$K$37000,"61*")</f>
        <v>0</v>
      </c>
    </row>
    <row r="104" spans="1:5" x14ac:dyDescent="0.2">
      <c r="A104" s="522" t="s">
        <v>1007</v>
      </c>
      <c r="B104" s="524">
        <v>800</v>
      </c>
      <c r="C104" s="522">
        <v>3000</v>
      </c>
      <c r="D104" s="522">
        <v>6100</v>
      </c>
      <c r="E104" s="523">
        <f>SUMIFS('Accounting data'!$G$2:$G$37000,'Accounting data'!$H$2:$H$37000,"11*",'Accounting data'!$I$2:$I$37000,"8*",'Accounting data'!$J$2:$J$37000,"3*",'Accounting data'!$K$2:$K$37000,"61*")+SUMIFS('Accounting data'!$G$2:$G$37000,'Accounting data'!$H$2:$H$37000,"12*",'Accounting data'!$I$2:$I$37000,"8*",'Accounting data'!$J$2:$J$37000,"3*",'Accounting data'!$K$2:$K$37000,"61*")+SUMIFS('Accounting data'!$G$2:$G$37000,'Accounting data'!$H$2:$H$37000,"13*",'Accounting data'!$I$2:$I$37000,"8*",'Accounting data'!$J$2:$J$37000,"3*",'Accounting data'!$K$2:$K$37000,"61*")</f>
        <v>0</v>
      </c>
    </row>
    <row r="105" spans="1:5" x14ac:dyDescent="0.2">
      <c r="A105" s="522" t="s">
        <v>1007</v>
      </c>
      <c r="B105" s="524">
        <v>900</v>
      </c>
      <c r="C105" s="522">
        <v>3000</v>
      </c>
      <c r="D105" s="522">
        <v>6100</v>
      </c>
      <c r="E105" s="523">
        <f>SUMIFS('Accounting data'!$G$2:$G$37000,'Accounting data'!$H$2:$H$37000,"11*",'Accounting data'!$I$2:$I$37000,"9*",'Accounting data'!$J$2:$J$37000,"3*",'Accounting data'!$K$2:$K$37000,"61*")+SUMIFS('Accounting data'!$G$2:$G$37000,'Accounting data'!$H$2:$H$37000,"12*",'Accounting data'!$I$2:$I$37000,"9*",'Accounting data'!$J$2:$J$37000,"3*",'Accounting data'!$K$2:$K$37000,"61*")+SUMIFS('Accounting data'!$G$2:$G$37000,'Accounting data'!$H$2:$H$37000,"13*",'Accounting data'!$I$2:$I$37000,"9*",'Accounting data'!$J$2:$J$37000,"3*",'Accounting data'!$K$2:$K$37000,"61*")</f>
        <v>0</v>
      </c>
    </row>
    <row r="106" spans="1:5" ht="15" x14ac:dyDescent="0.25">
      <c r="A106" s="525" t="s">
        <v>1008</v>
      </c>
      <c r="B106" s="525"/>
      <c r="C106" s="525"/>
      <c r="D106" s="525"/>
      <c r="E106" s="526">
        <f>(E94+E95+E96)-(E97+E98+E99+E100+E101+E102+E103+E104+E105)</f>
        <v>0</v>
      </c>
    </row>
    <row r="107" spans="1:5" x14ac:dyDescent="0.2">
      <c r="A107" s="522" t="s">
        <v>991</v>
      </c>
      <c r="B107" s="522" t="s">
        <v>991</v>
      </c>
      <c r="C107" s="522">
        <v>1000</v>
      </c>
      <c r="D107" s="522">
        <v>6200</v>
      </c>
      <c r="E107" s="523">
        <f>SUMIFS('Accounting data'!$G$2:$G$37000,'Accounting data'!$J$2:$J$37000,"1*",'Accounting data'!$K$2:$K$37000,"62*")</f>
        <v>23151</v>
      </c>
    </row>
    <row r="108" spans="1:5" x14ac:dyDescent="0.2">
      <c r="A108" s="522" t="s">
        <v>992</v>
      </c>
      <c r="B108" s="522" t="s">
        <v>991</v>
      </c>
      <c r="C108" s="522">
        <v>1000</v>
      </c>
      <c r="D108" s="522">
        <v>6200</v>
      </c>
      <c r="E108" s="523">
        <f>SUMIFS('Accounting data'!$G$2:$G$37000,'Accounting data'!$H$2:$H$37000,"9999*",'Accounting data'!$J$2:$J$37000,"1*",'Accounting data'!$K$2:$K$37000,"62*")</f>
        <v>0</v>
      </c>
    </row>
    <row r="109" spans="1:5" x14ac:dyDescent="0.2">
      <c r="A109" s="522" t="s">
        <v>991</v>
      </c>
      <c r="B109" s="522" t="s">
        <v>993</v>
      </c>
      <c r="C109" s="522">
        <v>1000</v>
      </c>
      <c r="D109" s="522">
        <v>6200</v>
      </c>
      <c r="E109" s="523">
        <f>SUMIFS('Accounting data'!$G$2:$G$37000,'Accounting data'!$I$2:$I$37000,"7*",'Accounting data'!$J$2:$J$37000,"1*",'Accounting data'!$K$2:$K$37000,"62*")+SUMIFS('Accounting data'!$G$2:$G$37000,'Accounting data'!$I$2:$I$37000,"8*",'Accounting data'!$J$2:$J$37000,"1*",'Accounting data'!$K$2:$K$37000,"62*")+SUMIFS('Accounting data'!$G$2:$G$37000,'Accounting data'!$I$2:$I$37000,"9*",'Accounting data'!$J$2:$J$37000,"1*",'Accounting data'!$K$2:$K$37000,"62*")</f>
        <v>0</v>
      </c>
    </row>
    <row r="110" spans="1:5" x14ac:dyDescent="0.2">
      <c r="A110" s="524" t="s">
        <v>992</v>
      </c>
      <c r="B110" s="522" t="s">
        <v>993</v>
      </c>
      <c r="C110" s="522">
        <v>1000</v>
      </c>
      <c r="D110" s="522">
        <v>6200</v>
      </c>
      <c r="E110" s="523">
        <f>SUMIFS('Accounting data'!$G$2:$G$37000,'Accounting data'!$H$2:$H$37000,"9999*",'Accounting data'!$I$2:$I$37000,"7*",'Accounting data'!$J$2:$J$37000,"1*",'Accounting data'!$K$2:$K$37000,"62*")+SUMIFS('Accounting data'!$G$2:$G$37000,'Accounting data'!$H$2:$H$37000,"9999*",'Accounting data'!$I$2:$I$37000,"8*",'Accounting data'!$J$2:$J$37000,"1*",'Accounting data'!$K$2:$K$37000,"62*")+SUMIFS('Accounting data'!$G$2:$G$37000,'Accounting data'!$H$2:$H$37000,"9999*",'Accounting data'!$I$2:$I$37000,"9*",'Accounting data'!$J$2:$J$37000,"1*",'Accounting data'!$K$2:$K$37000,"62*")</f>
        <v>0</v>
      </c>
    </row>
    <row r="113" spans="1:5" ht="15" x14ac:dyDescent="0.25">
      <c r="A113" s="525" t="s">
        <v>1009</v>
      </c>
      <c r="B113" s="525"/>
      <c r="C113" s="525"/>
      <c r="D113" s="525"/>
      <c r="E113" s="526">
        <f>(E107-E108-E109)+(E110+E111+E112)</f>
        <v>23151</v>
      </c>
    </row>
    <row r="114" spans="1:5" x14ac:dyDescent="0.2">
      <c r="A114" s="522" t="s">
        <v>991</v>
      </c>
      <c r="B114" s="522" t="s">
        <v>991</v>
      </c>
      <c r="C114" s="522">
        <v>2100</v>
      </c>
      <c r="D114" s="522">
        <v>6200</v>
      </c>
      <c r="E114" s="523">
        <f>SUMIFS('Accounting data'!$G$2:$G$37000,'Accounting data'!$J$2:$J$37000,"21*",'Accounting data'!$K$2:$K$37000,"62*")</f>
        <v>6821</v>
      </c>
    </row>
    <row r="115" spans="1:5" x14ac:dyDescent="0.2">
      <c r="A115" s="522" t="s">
        <v>992</v>
      </c>
      <c r="B115" s="522" t="s">
        <v>991</v>
      </c>
      <c r="C115" s="522">
        <v>2100</v>
      </c>
      <c r="D115" s="522">
        <v>6200</v>
      </c>
      <c r="E115" s="523">
        <f>SUMIFS('Accounting data'!$G$2:$G$37000,'Accounting data'!$H$2:$H$37000,"9999*",'Accounting data'!$J$2:$J$37000,"21*",'Accounting data'!$K$2:$K$37000,"62*")</f>
        <v>0</v>
      </c>
    </row>
    <row r="116" spans="1:5" x14ac:dyDescent="0.2">
      <c r="A116" s="522" t="s">
        <v>991</v>
      </c>
      <c r="B116" s="522" t="s">
        <v>993</v>
      </c>
      <c r="C116" s="522">
        <v>2100</v>
      </c>
      <c r="D116" s="522">
        <v>6200</v>
      </c>
      <c r="E116" s="523">
        <f>SUMIFS('Accounting data'!$G$2:$G$37000,'Accounting data'!$I$2:$I$37000,"7*",'Accounting data'!$J$2:$J$37000,"21*",'Accounting data'!$K$2:$K$37000,"62*")+SUMIFS('Accounting data'!$G$2:$G$37000,'Accounting data'!$I$2:$I$37000,"8*",'Accounting data'!$J$2:$J$37000,"21*",'Accounting data'!$K$2:$K$37000,"62*")+SUMIFS('Accounting data'!$G$2:$G$37000,'Accounting data'!$I$2:$I$37000,"9*",'Accounting data'!$J$2:$J$37000,"21*",'Accounting data'!$K$2:$K$37000,"62*")</f>
        <v>0</v>
      </c>
    </row>
    <row r="117" spans="1:5" x14ac:dyDescent="0.2">
      <c r="A117" s="524" t="s">
        <v>992</v>
      </c>
      <c r="B117" s="522" t="s">
        <v>993</v>
      </c>
      <c r="C117" s="522">
        <v>2100</v>
      </c>
      <c r="D117" s="522">
        <v>6200</v>
      </c>
      <c r="E117" s="523">
        <f>SUMIFS('Accounting data'!$G$2:$G$37000,'Accounting data'!$H$2:$H$37000,"9999*",'Accounting data'!$I$2:$I$37000,"7*",'Accounting data'!$J$2:$J$37000,"21*",'Accounting data'!$K$2:$K$37000,"62*")+SUMIFS('Accounting data'!$G$2:$G$37000,'Accounting data'!$H$2:$H$37000,"9999*",'Accounting data'!$I$2:$I$37000,"8*",'Accounting data'!$J$2:$J$37000,"21*",'Accounting data'!$K$2:$K$37000,"62*")+SUMIFS('Accounting data'!$G$2:$G$37000,'Accounting data'!$H$2:$H$37000,"9999*",'Accounting data'!$I$2:$I$37000,"9*",'Accounting data'!$J$2:$J$37000,"21*",'Accounting data'!$K$2:$K$37000,"62*")</f>
        <v>0</v>
      </c>
    </row>
    <row r="118" spans="1:5" x14ac:dyDescent="0.2">
      <c r="A118" s="522"/>
      <c r="B118" s="522"/>
      <c r="C118" s="522"/>
      <c r="D118" s="522"/>
      <c r="E118" s="523"/>
    </row>
    <row r="119" spans="1:5" x14ac:dyDescent="0.2">
      <c r="A119" s="522"/>
      <c r="B119" s="522"/>
      <c r="C119" s="522"/>
      <c r="D119" s="522"/>
      <c r="E119" s="523"/>
    </row>
    <row r="120" spans="1:5" ht="15" x14ac:dyDescent="0.25">
      <c r="A120" s="525" t="s">
        <v>1010</v>
      </c>
      <c r="B120" s="525"/>
      <c r="C120" s="525"/>
      <c r="D120" s="525"/>
      <c r="E120" s="526">
        <f>(E114-E115-E116)+(E117+E118+E119)</f>
        <v>6821</v>
      </c>
    </row>
    <row r="121" spans="1:5" x14ac:dyDescent="0.2">
      <c r="A121" s="522" t="s">
        <v>991</v>
      </c>
      <c r="B121" s="522" t="s">
        <v>991</v>
      </c>
      <c r="C121" s="522">
        <v>2200</v>
      </c>
      <c r="D121" s="522">
        <v>6200</v>
      </c>
      <c r="E121" s="523">
        <f>SUMIFS('Accounting data'!$G$2:$G$37000,'Accounting data'!$J$2:$J$37000,"22*",'Accounting data'!$K$2:$K$37000,"62*")</f>
        <v>33648</v>
      </c>
    </row>
    <row r="122" spans="1:5" x14ac:dyDescent="0.2">
      <c r="A122" s="522" t="s">
        <v>992</v>
      </c>
      <c r="B122" s="522" t="s">
        <v>991</v>
      </c>
      <c r="C122" s="522">
        <v>2200</v>
      </c>
      <c r="D122" s="522">
        <v>6200</v>
      </c>
      <c r="E122" s="523">
        <f>SUMIFS('Accounting data'!$G$2:$G$37000,'Accounting data'!$H$2:$H$37000,"9999*",'Accounting data'!$J$2:$J$37000,"22*",'Accounting data'!$K$2:$K$37000,"62*")</f>
        <v>0</v>
      </c>
    </row>
    <row r="123" spans="1:5" x14ac:dyDescent="0.2">
      <c r="A123" s="522" t="s">
        <v>991</v>
      </c>
      <c r="B123" s="522" t="s">
        <v>993</v>
      </c>
      <c r="C123" s="522">
        <v>2200</v>
      </c>
      <c r="D123" s="522">
        <v>6200</v>
      </c>
      <c r="E123" s="523">
        <f>SUMIFS('Accounting data'!$G$2:$G$37000,'Accounting data'!$I$2:$I$37000,"7*",'Accounting data'!$J$2:$J$37000,"22*",'Accounting data'!$K$2:$K$37000,"62*")+SUMIFS('Accounting data'!$G$2:$G$37000,'Accounting data'!$I$2:$I$37000,"8*",'Accounting data'!$J$2:$J$37000,"22*",'Accounting data'!$K$2:$K$37000,"62*")+SUMIFS('Accounting data'!$G$2:$G$37000,'Accounting data'!$I$2:$I$37000,"9*",'Accounting data'!$J$2:$J$37000,"22*",'Accounting data'!$K$2:$K$37000,"62*")</f>
        <v>0</v>
      </c>
    </row>
    <row r="124" spans="1:5" x14ac:dyDescent="0.2">
      <c r="A124" s="524" t="s">
        <v>992</v>
      </c>
      <c r="B124" s="522" t="s">
        <v>993</v>
      </c>
      <c r="C124" s="522">
        <v>2200</v>
      </c>
      <c r="D124" s="522">
        <v>6200</v>
      </c>
      <c r="E124" s="523">
        <f>SUMIFS('Accounting data'!$G$2:$G$37000,'Accounting data'!$H$2:$H$37000,"9999*",'Accounting data'!$I$2:$I$37000,"7*",'Accounting data'!$J$2:$J$37000,"22*",'Accounting data'!$K$2:$K$37000,"62*")+SUMIFS('Accounting data'!$G$2:$G$37000,'Accounting data'!$H$2:$H$37000,"9999*",'Accounting data'!$I$2:$I$37000,"8*",'Accounting data'!$J$2:$J$37000,"22*",'Accounting data'!$K$2:$K$37000,"62*")+SUMIFS('Accounting data'!$G$2:$G$37000,'Accounting data'!$H$2:$H$37000,"9999*",'Accounting data'!$I$2:$I$37000,"9*",'Accounting data'!$J$2:$J$37000,"22*",'Accounting data'!$K$2:$K$37000,"62*")</f>
        <v>0</v>
      </c>
    </row>
    <row r="125" spans="1:5" x14ac:dyDescent="0.2">
      <c r="A125" s="522"/>
      <c r="B125" s="522"/>
      <c r="C125" s="522"/>
      <c r="D125" s="522"/>
      <c r="E125" s="523"/>
    </row>
    <row r="126" spans="1:5" x14ac:dyDescent="0.2">
      <c r="A126" s="522"/>
      <c r="B126" s="522"/>
      <c r="C126" s="522"/>
      <c r="D126" s="522"/>
      <c r="E126" s="523"/>
    </row>
    <row r="127" spans="1:5" ht="15" x14ac:dyDescent="0.25">
      <c r="A127" s="525" t="s">
        <v>1011</v>
      </c>
      <c r="B127" s="525"/>
      <c r="C127" s="525"/>
      <c r="D127" s="525"/>
      <c r="E127" s="526">
        <f>(E121-E122-E123)+(E124+E125+E126)</f>
        <v>33648</v>
      </c>
    </row>
    <row r="128" spans="1:5" x14ac:dyDescent="0.2">
      <c r="A128" s="522" t="s">
        <v>991</v>
      </c>
      <c r="B128" s="522" t="s">
        <v>991</v>
      </c>
      <c r="C128" s="522">
        <v>2300</v>
      </c>
      <c r="D128" s="522">
        <v>6200</v>
      </c>
      <c r="E128" s="523">
        <f>SUMIFS('Accounting data'!$G$2:$G$37000,'Accounting data'!$J$2:$J$37000,"23*",'Accounting data'!$K$2:$K$37000,"62*")</f>
        <v>28799</v>
      </c>
    </row>
    <row r="129" spans="1:5" x14ac:dyDescent="0.2">
      <c r="A129" s="522" t="s">
        <v>992</v>
      </c>
      <c r="B129" s="522" t="s">
        <v>991</v>
      </c>
      <c r="C129" s="522">
        <v>2300</v>
      </c>
      <c r="D129" s="522">
        <v>6200</v>
      </c>
      <c r="E129" s="523">
        <f>SUMIFS('Accounting data'!$G$2:$G$37000,'Accounting data'!$H$2:$H$37000,"9999*",'Accounting data'!$J$2:$J$37000,"23*",'Accounting data'!$K$2:$K$37000,"62*")</f>
        <v>0</v>
      </c>
    </row>
    <row r="130" spans="1:5" x14ac:dyDescent="0.2">
      <c r="A130" s="522" t="s">
        <v>991</v>
      </c>
      <c r="B130" s="522" t="s">
        <v>993</v>
      </c>
      <c r="C130" s="522">
        <v>2300</v>
      </c>
      <c r="D130" s="522">
        <v>6200</v>
      </c>
      <c r="E130" s="523">
        <f>SUMIFS('Accounting data'!$G$2:$G$37000,'Accounting data'!$I$2:$I$37000,"7*",'Accounting data'!$J$2:$J$37000,"23*",'Accounting data'!$K$2:$K$37000,"62*")+SUMIFS('Accounting data'!$G$2:$G$37000,'Accounting data'!$I$2:$I$37000,"8*",'Accounting data'!$J$2:$J$37000,"23*",'Accounting data'!$K$2:$K$37000,"62*")+SUMIFS('Accounting data'!$G$2:$G$37000,'Accounting data'!$I$2:$I$37000,"9*",'Accounting data'!$J$2:$J$37000,"23*",'Accounting data'!$K$2:$K$37000,"62*")</f>
        <v>0</v>
      </c>
    </row>
    <row r="131" spans="1:5" x14ac:dyDescent="0.2">
      <c r="A131" s="524" t="s">
        <v>992</v>
      </c>
      <c r="B131" s="522" t="s">
        <v>993</v>
      </c>
      <c r="C131" s="522">
        <v>2300</v>
      </c>
      <c r="D131" s="522">
        <v>6200</v>
      </c>
      <c r="E131" s="523">
        <f>SUMIFS('Accounting data'!$G$2:$G$37000,'Accounting data'!$H$2:$H$37000,"9999*",'Accounting data'!$I$2:$I$37000,"7*",'Accounting data'!$J$2:$J$37000,"23*",'Accounting data'!$K$2:$K$37000,"62*")+SUMIFS('Accounting data'!$G$2:$G$37000,'Accounting data'!$H$2:$H$37000,"9999*",'Accounting data'!$I$2:$I$37000,"8*",'Accounting data'!$J$2:$J$37000,"23*",'Accounting data'!$K$2:$K$37000,"62*")+SUMIFS('Accounting data'!$G$2:$G$37000,'Accounting data'!$H$2:$H$37000,"9999*",'Accounting data'!$I$2:$I$37000,"9*",'Accounting data'!$J$2:$J$37000,"23*",'Accounting data'!$K$2:$K$37000,"62*")</f>
        <v>0</v>
      </c>
    </row>
    <row r="132" spans="1:5" x14ac:dyDescent="0.2">
      <c r="A132" s="522"/>
      <c r="B132" s="522"/>
      <c r="C132" s="522"/>
      <c r="D132" s="522"/>
      <c r="E132" s="523"/>
    </row>
    <row r="133" spans="1:5" x14ac:dyDescent="0.2">
      <c r="A133" s="522"/>
      <c r="B133" s="522"/>
      <c r="C133" s="522"/>
      <c r="D133" s="522"/>
      <c r="E133" s="523"/>
    </row>
    <row r="134" spans="1:5" ht="15" x14ac:dyDescent="0.25">
      <c r="A134" s="525" t="s">
        <v>1012</v>
      </c>
      <c r="B134" s="525"/>
      <c r="C134" s="525"/>
      <c r="D134" s="525"/>
      <c r="E134" s="526">
        <f>(E128-E129-E130)+(E131+E132+E133)</f>
        <v>28799</v>
      </c>
    </row>
    <row r="135" spans="1:5" x14ac:dyDescent="0.2">
      <c r="A135" s="522" t="s">
        <v>991</v>
      </c>
      <c r="B135" s="522" t="s">
        <v>991</v>
      </c>
      <c r="C135" s="522">
        <v>2400</v>
      </c>
      <c r="D135" s="522">
        <v>6200</v>
      </c>
      <c r="E135" s="523">
        <f>SUMIFS('Accounting data'!$G$2:$G$37000,'Accounting data'!$J$2:$J$37000,"24*",'Accounting data'!$K$2:$K$37000,"62*")</f>
        <v>11323</v>
      </c>
    </row>
    <row r="136" spans="1:5" x14ac:dyDescent="0.2">
      <c r="A136" s="522" t="s">
        <v>992</v>
      </c>
      <c r="B136" s="522" t="s">
        <v>991</v>
      </c>
      <c r="C136" s="522">
        <v>2400</v>
      </c>
      <c r="D136" s="522">
        <v>6200</v>
      </c>
      <c r="E136" s="523">
        <f>SUMIFS('Accounting data'!$G$2:$G$37000,'Accounting data'!$H$2:$H$37000,"9999*",'Accounting data'!$J$2:$J$37000,"24*",'Accounting data'!$K$2:$K$37000,"62*")</f>
        <v>0</v>
      </c>
    </row>
    <row r="137" spans="1:5" x14ac:dyDescent="0.2">
      <c r="A137" s="522" t="s">
        <v>991</v>
      </c>
      <c r="B137" s="522" t="s">
        <v>993</v>
      </c>
      <c r="C137" s="522">
        <v>2400</v>
      </c>
      <c r="D137" s="522">
        <v>6200</v>
      </c>
      <c r="E137" s="523">
        <f>SUMIFS('Accounting data'!$G$2:$G$37000,'Accounting data'!$I$2:$I$37000,"7*",'Accounting data'!$J$2:$J$37000,"24*",'Accounting data'!$K$2:$K$37000,"62*")+SUMIFS('Accounting data'!$G$2:$G$37000,'Accounting data'!$I$2:$I$37000,"8*",'Accounting data'!$J$2:$J$37000,"24*",'Accounting data'!$K$2:$K$37000,"62*")+SUMIFS('Accounting data'!$G$2:$G$37000,'Accounting data'!$I$2:$I$37000,"9*",'Accounting data'!$J$2:$J$37000,"24*",'Accounting data'!$K$2:$K$37000,"62*")</f>
        <v>0</v>
      </c>
    </row>
    <row r="138" spans="1:5" x14ac:dyDescent="0.2">
      <c r="A138" s="524" t="s">
        <v>992</v>
      </c>
      <c r="B138" s="522" t="s">
        <v>993</v>
      </c>
      <c r="C138" s="522">
        <v>2400</v>
      </c>
      <c r="D138" s="522">
        <v>6200</v>
      </c>
      <c r="E138" s="523">
        <f>SUMIFS('Accounting data'!$G$2:$G$37000,'Accounting data'!$H$2:$H$37000,"9999*",'Accounting data'!$I$2:$I$37000,"7*",'Accounting data'!$J$2:$J$37000,"24*",'Accounting data'!$K$2:$K$37000,"62*")+SUMIFS('Accounting data'!$G$2:$G$37000,'Accounting data'!$H$2:$H$37000,"9999*",'Accounting data'!$I$2:$I$37000,"8*",'Accounting data'!$J$2:$J$37000,"24*",'Accounting data'!$K$2:$K$37000,"62*")+SUMIFS('Accounting data'!$G$2:$G$37000,'Accounting data'!$H$2:$H$37000,"9999*",'Accounting data'!$I$2:$I$37000,"9*",'Accounting data'!$J$2:$J$37000,"24*",'Accounting data'!$K$2:$K$37000,"62*")</f>
        <v>0</v>
      </c>
    </row>
    <row r="139" spans="1:5" x14ac:dyDescent="0.2">
      <c r="A139" s="522"/>
      <c r="B139" s="522"/>
      <c r="C139" s="522"/>
      <c r="D139" s="522"/>
      <c r="E139" s="523"/>
    </row>
    <row r="140" spans="1:5" x14ac:dyDescent="0.2">
      <c r="A140" s="522"/>
      <c r="B140" s="522"/>
      <c r="C140" s="522"/>
      <c r="D140" s="522"/>
      <c r="E140" s="523"/>
    </row>
    <row r="141" spans="1:5" ht="15" x14ac:dyDescent="0.25">
      <c r="A141" s="525" t="s">
        <v>1013</v>
      </c>
      <c r="B141" s="525"/>
      <c r="C141" s="525"/>
      <c r="D141" s="525"/>
      <c r="E141" s="526">
        <f>(E135-E136-E137)+(E138+E139+E140)</f>
        <v>11323</v>
      </c>
    </row>
    <row r="142" spans="1:5" x14ac:dyDescent="0.2">
      <c r="A142" s="522" t="s">
        <v>991</v>
      </c>
      <c r="B142" s="522" t="s">
        <v>991</v>
      </c>
      <c r="C142" s="522">
        <v>2500</v>
      </c>
      <c r="D142" s="522">
        <v>6200</v>
      </c>
      <c r="E142" s="523">
        <f>SUMIFS('Accounting data'!$G$2:$G$37000,'Accounting data'!$J$2:$J$37000,"25*",'Accounting data'!$K$2:$K$37000,"62*")</f>
        <v>15640</v>
      </c>
    </row>
    <row r="143" spans="1:5" x14ac:dyDescent="0.2">
      <c r="A143" s="522" t="s">
        <v>992</v>
      </c>
      <c r="B143" s="522" t="s">
        <v>991</v>
      </c>
      <c r="C143" s="522">
        <v>2500</v>
      </c>
      <c r="D143" s="522">
        <v>6200</v>
      </c>
      <c r="E143" s="523">
        <f>SUMIFS('Accounting data'!$G$2:$G$37000,'Accounting data'!$H$2:$H$37000,"9999*",'Accounting data'!$J$2:$J$37000,"25*",'Accounting data'!$K$2:$K$37000,"62*")</f>
        <v>0</v>
      </c>
    </row>
    <row r="144" spans="1:5" x14ac:dyDescent="0.2">
      <c r="A144" s="522" t="s">
        <v>991</v>
      </c>
      <c r="B144" s="522" t="s">
        <v>993</v>
      </c>
      <c r="C144" s="522">
        <v>2500</v>
      </c>
      <c r="D144" s="522">
        <v>6200</v>
      </c>
      <c r="E144" s="523">
        <f>SUMIFS('Accounting data'!$G$2:$G$37000,'Accounting data'!$I$2:$I$37000,"7*",'Accounting data'!$J$2:$J$37000,"25*",'Accounting data'!$K$2:$K$37000,"62*")+SUMIFS('Accounting data'!$G$2:$G$37000,'Accounting data'!$I$2:$I$37000,"8*",'Accounting data'!$J$2:$J$37000,"25*",'Accounting data'!$K$2:$K$37000,"62*")+SUMIFS('Accounting data'!$G$2:$G$37000,'Accounting data'!$I$2:$I$37000,"9*",'Accounting data'!$J$2:$J$37000,"25*",'Accounting data'!$K$2:$K$37000,"62*")</f>
        <v>0</v>
      </c>
    </row>
    <row r="145" spans="1:5" x14ac:dyDescent="0.2">
      <c r="A145" s="524" t="s">
        <v>992</v>
      </c>
      <c r="B145" s="522" t="s">
        <v>993</v>
      </c>
      <c r="C145" s="522">
        <v>2500</v>
      </c>
      <c r="D145" s="522">
        <v>6200</v>
      </c>
      <c r="E145" s="523">
        <f>SUMIFS('Accounting data'!$G$2:$G$37000,'Accounting data'!$H$2:$H$37000,"9999*",'Accounting data'!$I$2:$I$37000,"7*",'Accounting data'!$J$2:$J$37000,"25*",'Accounting data'!$K$2:$K$37000,"62*")+SUMIFS('Accounting data'!$G$2:$G$37000,'Accounting data'!$H$2:$H$37000,"9999*",'Accounting data'!$I$2:$I$37000,"8*",'Accounting data'!$J$2:$J$37000,"25*",'Accounting data'!$K$2:$K$37000,"62*")+SUMIFS('Accounting data'!$G$2:$G$37000,'Accounting data'!$H$2:$H$37000,"9999*",'Accounting data'!$I$2:$I$37000,"9*",'Accounting data'!$J$2:$J$37000,"25*",'Accounting data'!$K$2:$K$37000,"62*")</f>
        <v>0</v>
      </c>
    </row>
    <row r="146" spans="1:5" x14ac:dyDescent="0.2">
      <c r="A146" s="522"/>
      <c r="B146" s="522"/>
      <c r="C146" s="522"/>
      <c r="D146" s="522"/>
      <c r="E146" s="523"/>
    </row>
    <row r="147" spans="1:5" x14ac:dyDescent="0.2">
      <c r="A147" s="522"/>
      <c r="B147" s="522"/>
      <c r="C147" s="522"/>
      <c r="D147" s="522"/>
      <c r="E147" s="523"/>
    </row>
    <row r="148" spans="1:5" ht="15" x14ac:dyDescent="0.25">
      <c r="A148" s="525" t="s">
        <v>1014</v>
      </c>
      <c r="B148" s="525"/>
      <c r="C148" s="525"/>
      <c r="D148" s="525"/>
      <c r="E148" s="526">
        <f>(E142-E143-E144)+(E145+E146+E147)</f>
        <v>15640</v>
      </c>
    </row>
    <row r="149" spans="1:5" x14ac:dyDescent="0.2">
      <c r="A149" s="522" t="s">
        <v>991</v>
      </c>
      <c r="B149" s="522" t="s">
        <v>991</v>
      </c>
      <c r="C149" s="522">
        <v>2900</v>
      </c>
      <c r="D149" s="522">
        <v>6200</v>
      </c>
      <c r="E149" s="523">
        <f>SUMIFS('Accounting data'!$G$2:$G$37000,'Accounting data'!$J$2:$J$37000,"29*",'Accounting data'!$K$2:$K$37000,"62*")</f>
        <v>0</v>
      </c>
    </row>
    <row r="150" spans="1:5" x14ac:dyDescent="0.2">
      <c r="A150" s="522" t="s">
        <v>992</v>
      </c>
      <c r="B150" s="522" t="s">
        <v>991</v>
      </c>
      <c r="C150" s="522">
        <v>2900</v>
      </c>
      <c r="D150" s="522">
        <v>6200</v>
      </c>
      <c r="E150" s="523">
        <f>SUMIFS('Accounting data'!$G$2:$G$37000,'Accounting data'!$H$2:$H$37000,"9999*",'Accounting data'!$J$2:$J$37000,"29*",'Accounting data'!$K$2:$K$37000,"62*")</f>
        <v>0</v>
      </c>
    </row>
    <row r="151" spans="1:5" x14ac:dyDescent="0.2">
      <c r="A151" s="522" t="s">
        <v>991</v>
      </c>
      <c r="B151" s="522" t="s">
        <v>993</v>
      </c>
      <c r="C151" s="522">
        <v>2900</v>
      </c>
      <c r="D151" s="522">
        <v>6200</v>
      </c>
      <c r="E151" s="523">
        <f>SUMIFS('Accounting data'!$G$2:$G$37000,'Accounting data'!$I$2:$I$37000,"7*",'Accounting data'!$J$2:$J$37000,"29*",'Accounting data'!$K$2:$K$37000,"62*")+SUMIFS('Accounting data'!$G$2:$G$37000,'Accounting data'!$I$2:$I$37000,"8*",'Accounting data'!$J$2:$J$37000,"29*",'Accounting data'!$K$2:$K$37000,"62*")+SUMIFS('Accounting data'!$G$2:$G$37000,'Accounting data'!$I$2:$I$37000,"9*",'Accounting data'!$J$2:$J$37000,"29*",'Accounting data'!$K$2:$K$37000,"62*")</f>
        <v>0</v>
      </c>
    </row>
    <row r="152" spans="1:5" x14ac:dyDescent="0.2">
      <c r="A152" s="524" t="s">
        <v>992</v>
      </c>
      <c r="B152" s="522" t="s">
        <v>993</v>
      </c>
      <c r="C152" s="522">
        <v>2900</v>
      </c>
      <c r="D152" s="522">
        <v>6200</v>
      </c>
      <c r="E152" s="523">
        <f>SUMIFS('Accounting data'!$G$2:$G$37000,'Accounting data'!$H$2:$H$37000,"9999*",'Accounting data'!$I$2:$I$37000,"7*",'Accounting data'!$J$2:$J$37000,"29*",'Accounting data'!$K$2:$K$37000,"62*")+SUMIFS('Accounting data'!$G$2:$G$37000,'Accounting data'!$H$2:$H$37000,"9999*",'Accounting data'!$I$2:$I$37000,"8*",'Accounting data'!$J$2:$J$37000,"29*",'Accounting data'!$K$2:$K$37000,"62*")+SUMIFS('Accounting data'!$G$2:$G$37000,'Accounting data'!$H$2:$H$37000,"9999*",'Accounting data'!$I$2:$I$37000,"9*",'Accounting data'!$J$2:$J$37000,"29*",'Accounting data'!$K$2:$K$37000,"62*")</f>
        <v>0</v>
      </c>
    </row>
    <row r="153" spans="1:5" x14ac:dyDescent="0.2">
      <c r="A153" s="522"/>
      <c r="B153" s="522"/>
      <c r="C153" s="522"/>
      <c r="D153" s="522"/>
      <c r="E153" s="523"/>
    </row>
    <row r="154" spans="1:5" x14ac:dyDescent="0.2">
      <c r="A154" s="522"/>
      <c r="B154" s="522"/>
      <c r="C154" s="522"/>
      <c r="D154" s="522"/>
      <c r="E154" s="523"/>
    </row>
    <row r="155" spans="1:5" ht="15" x14ac:dyDescent="0.25">
      <c r="A155" s="525" t="s">
        <v>1015</v>
      </c>
      <c r="B155" s="525"/>
      <c r="C155" s="525"/>
      <c r="D155" s="525"/>
      <c r="E155" s="526">
        <f>(E149-E150-E151)+(E152+E153+E154)</f>
        <v>0</v>
      </c>
    </row>
    <row r="156" spans="1:5" x14ac:dyDescent="0.2">
      <c r="A156" s="522" t="s">
        <v>991</v>
      </c>
      <c r="B156" s="522" t="s">
        <v>991</v>
      </c>
      <c r="C156" s="522">
        <v>2600</v>
      </c>
      <c r="D156" s="522">
        <v>6200</v>
      </c>
      <c r="E156" s="523">
        <f>SUMIFS('Accounting data'!$G$2:$G$37000,'Accounting data'!$J$2:$J$37000,"26*",'Accounting data'!$K$2:$K$37000,"62*")</f>
        <v>0</v>
      </c>
    </row>
    <row r="157" spans="1:5" x14ac:dyDescent="0.2">
      <c r="A157" s="522" t="s">
        <v>992</v>
      </c>
      <c r="B157" s="522" t="s">
        <v>991</v>
      </c>
      <c r="C157" s="522">
        <v>2600</v>
      </c>
      <c r="D157" s="522">
        <v>6200</v>
      </c>
      <c r="E157" s="523">
        <f>SUMIFS('Accounting data'!$G$2:$G$37000,'Accounting data'!$H$2:$H$37000,"9999*",'Accounting data'!$J$2:$J$37000,"26*",'Accounting data'!$K$2:$K$37000,"62*")</f>
        <v>0</v>
      </c>
    </row>
    <row r="158" spans="1:5" x14ac:dyDescent="0.2">
      <c r="A158" s="522" t="s">
        <v>991</v>
      </c>
      <c r="B158" s="522" t="s">
        <v>993</v>
      </c>
      <c r="C158" s="522">
        <v>2600</v>
      </c>
      <c r="D158" s="522">
        <v>6200</v>
      </c>
      <c r="E158" s="523">
        <f>SUMIFS('Accounting data'!$G$2:$G$37000,'Accounting data'!$I$2:$I$37000,"7*",'Accounting data'!$J$2:$J$37000,"26*",'Accounting data'!$K$2:$K$37000,"62*")+SUMIFS('Accounting data'!$G$2:$G$37000,'Accounting data'!$I$2:$I$37000,"8*",'Accounting data'!$J$2:$J$37000,"26*",'Accounting data'!$K$2:$K$37000,"62*")+SUMIFS('Accounting data'!$G$2:$G$37000,'Accounting data'!$I$2:$I$37000,"9*",'Accounting data'!$J$2:$J$37000,"26*",'Accounting data'!$K$2:$K$37000,"62*")</f>
        <v>0</v>
      </c>
    </row>
    <row r="159" spans="1:5" x14ac:dyDescent="0.2">
      <c r="A159" s="524" t="s">
        <v>992</v>
      </c>
      <c r="B159" s="522" t="s">
        <v>993</v>
      </c>
      <c r="C159" s="522">
        <v>2600</v>
      </c>
      <c r="D159" s="522">
        <v>6200</v>
      </c>
      <c r="E159" s="523">
        <f>SUMIFS('Accounting data'!$G$2:$G$37000,'Accounting data'!$H$2:$H$37000,"9999*",'Accounting data'!$I$2:$I$37000,"7*",'Accounting data'!$J$2:$J$37000,"26*",'Accounting data'!$K$2:$K$37000,"62*")+SUMIFS('Accounting data'!$G$2:$G$37000,'Accounting data'!$H$2:$H$37000,"9999*",'Accounting data'!$I$2:$I$37000,"8*",'Accounting data'!$J$2:$J$37000,"26*",'Accounting data'!$K$2:$K$37000,"62*")+SUMIFS('Accounting data'!$G$2:$G$37000,'Accounting data'!$H$2:$H$37000,"9999*",'Accounting data'!$I$2:$I$37000,"9*",'Accounting data'!$J$2:$J$37000,"26*",'Accounting data'!$K$2:$K$37000,"62*")</f>
        <v>0</v>
      </c>
    </row>
    <row r="162" spans="1:5" ht="15" x14ac:dyDescent="0.25">
      <c r="A162" s="525" t="s">
        <v>1016</v>
      </c>
      <c r="B162" s="525"/>
      <c r="C162" s="525"/>
      <c r="D162" s="525"/>
      <c r="E162" s="526">
        <f>(E156-E157-E158)+(E159+E160+E161)</f>
        <v>0</v>
      </c>
    </row>
    <row r="163" spans="1:5" x14ac:dyDescent="0.2">
      <c r="A163" s="522" t="s">
        <v>991</v>
      </c>
      <c r="B163" s="522" t="s">
        <v>991</v>
      </c>
      <c r="C163" s="522">
        <v>2700</v>
      </c>
      <c r="D163" s="522">
        <v>6200</v>
      </c>
      <c r="E163" s="523">
        <f>SUMIFS('Accounting data'!$G$2:$G$37000,'Accounting data'!$J$2:$J$37000,"27*",'Accounting data'!$K$2:$K$37000,"62*")</f>
        <v>0</v>
      </c>
    </row>
    <row r="164" spans="1:5" x14ac:dyDescent="0.2">
      <c r="A164" s="522" t="s">
        <v>992</v>
      </c>
      <c r="B164" s="522" t="s">
        <v>991</v>
      </c>
      <c r="C164" s="522">
        <v>2700</v>
      </c>
      <c r="D164" s="522">
        <v>6200</v>
      </c>
      <c r="E164" s="523">
        <f>SUMIFS('Accounting data'!$G$2:$G$37000,'Accounting data'!$H$2:$H$37000,"9999*",'Accounting data'!$J$2:$J$37000,"27*",'Accounting data'!$K$2:$K$37000,"62*")</f>
        <v>0</v>
      </c>
    </row>
    <row r="165" spans="1:5" x14ac:dyDescent="0.2">
      <c r="A165" s="522" t="s">
        <v>991</v>
      </c>
      <c r="B165" s="522" t="s">
        <v>993</v>
      </c>
      <c r="C165" s="522">
        <v>2700</v>
      </c>
      <c r="D165" s="522">
        <v>6200</v>
      </c>
      <c r="E165" s="523">
        <f>SUMIFS('Accounting data'!$G$2:$G$37000,'Accounting data'!$I$2:$I$37000,"7*",'Accounting data'!$J$2:$J$37000,"27*",'Accounting data'!$K$2:$K$37000,"62*")+SUMIFS('Accounting data'!$G$2:$G$37000,'Accounting data'!$I$2:$I$37000,"8*",'Accounting data'!$J$2:$J$37000,"27*",'Accounting data'!$K$2:$K$37000,"62*")+SUMIFS('Accounting data'!$G$2:$G$37000,'Accounting data'!$I$2:$I$37000,"9*",'Accounting data'!$J$2:$J$37000,"27*",'Accounting data'!$K$2:$K$37000,"62*")</f>
        <v>0</v>
      </c>
    </row>
    <row r="166" spans="1:5" x14ac:dyDescent="0.2">
      <c r="A166" s="524" t="s">
        <v>992</v>
      </c>
      <c r="B166" s="522" t="s">
        <v>993</v>
      </c>
      <c r="C166" s="522">
        <v>2700</v>
      </c>
      <c r="D166" s="522">
        <v>6200</v>
      </c>
      <c r="E166" s="523">
        <f>SUMIFS('Accounting data'!$G$2:$G$37000,'Accounting data'!$H$2:$H$37000,"9999*",'Accounting data'!$I$2:$I$37000,"7*",'Accounting data'!$J$2:$J$37000,"27*",'Accounting data'!$K$2:$K$37000,"62*")+SUMIFS('Accounting data'!$G$2:$G$37000,'Accounting data'!$H$2:$H$37000,"9999*",'Accounting data'!$I$2:$I$37000,"8*",'Accounting data'!$J$2:$J$37000,"27*",'Accounting data'!$K$2:$K$37000,"62*")+SUMIFS('Accounting data'!$G$2:$G$37000,'Accounting data'!$H$2:$H$37000,"9999*",'Accounting data'!$I$2:$I$37000,"9*",'Accounting data'!$J$2:$J$37000,"27*",'Accounting data'!$K$2:$K$37000,"62*")</f>
        <v>0</v>
      </c>
    </row>
    <row r="167" spans="1:5" x14ac:dyDescent="0.2">
      <c r="A167" s="522"/>
      <c r="B167" s="522"/>
      <c r="C167" s="522"/>
      <c r="D167" s="522"/>
      <c r="E167" s="523"/>
    </row>
    <row r="168" spans="1:5" x14ac:dyDescent="0.2">
      <c r="A168" s="522"/>
      <c r="B168" s="522"/>
      <c r="C168" s="522"/>
      <c r="D168" s="522"/>
      <c r="E168" s="523"/>
    </row>
    <row r="169" spans="1:5" ht="15" x14ac:dyDescent="0.25">
      <c r="A169" s="525" t="s">
        <v>1017</v>
      </c>
      <c r="B169" s="525"/>
      <c r="C169" s="525"/>
      <c r="D169" s="525"/>
      <c r="E169" s="526">
        <f>(E163-E164-E165)+(E166+E167+E168)</f>
        <v>0</v>
      </c>
    </row>
    <row r="170" spans="1:5" x14ac:dyDescent="0.2">
      <c r="A170" s="522" t="s">
        <v>991</v>
      </c>
      <c r="B170" s="522" t="s">
        <v>991</v>
      </c>
      <c r="C170" s="522">
        <v>3100</v>
      </c>
      <c r="D170" s="522">
        <v>6200</v>
      </c>
      <c r="E170" s="523">
        <f>SUMIFS('Accounting data'!$G$2:$G$37000,'Accounting data'!$J$2:$J$37000,"31*",'Accounting data'!$K$2:$K$37000,"62*")</f>
        <v>0</v>
      </c>
    </row>
    <row r="171" spans="1:5" x14ac:dyDescent="0.2">
      <c r="A171" s="522" t="s">
        <v>992</v>
      </c>
      <c r="B171" s="522" t="s">
        <v>991</v>
      </c>
      <c r="C171" s="522">
        <v>3100</v>
      </c>
      <c r="D171" s="522">
        <v>6200</v>
      </c>
      <c r="E171" s="523">
        <f>SUMIFS('Accounting data'!$G$2:$G$37000,'Accounting data'!$H$2:$H$37000,"9999*",'Accounting data'!$J$2:$J$37000,"31*",'Accounting data'!$K$2:$K$37000,"62*")</f>
        <v>0</v>
      </c>
    </row>
    <row r="172" spans="1:5" x14ac:dyDescent="0.2">
      <c r="A172" s="522" t="s">
        <v>991</v>
      </c>
      <c r="B172" s="522" t="s">
        <v>993</v>
      </c>
      <c r="C172" s="522">
        <v>3100</v>
      </c>
      <c r="D172" s="522">
        <v>6200</v>
      </c>
      <c r="E172" s="523">
        <f>SUMIFS('Accounting data'!$G$2:$G$37000,'Accounting data'!$I$2:$I$37000,"7*",'Accounting data'!$J$2:$J$37000,"31*",'Accounting data'!$K$2:$K$37000,"62*")+SUMIFS('Accounting data'!$G$2:$G$37000,'Accounting data'!$I$2:$I$37000,"8*",'Accounting data'!$J$2:$J$37000,"31*",'Accounting data'!$K$2:$K$37000,"62*")+SUMIFS('Accounting data'!$G$2:$G$37000,'Accounting data'!$I$2:$I$37000,"9*",'Accounting data'!$J$2:$J$37000,"31*",'Accounting data'!$K$2:$K$37000,"62*")</f>
        <v>0</v>
      </c>
    </row>
    <row r="173" spans="1:5" x14ac:dyDescent="0.2">
      <c r="A173" s="524" t="s">
        <v>992</v>
      </c>
      <c r="B173" s="522" t="s">
        <v>993</v>
      </c>
      <c r="C173" s="522">
        <v>3100</v>
      </c>
      <c r="D173" s="522">
        <v>6200</v>
      </c>
      <c r="E173" s="523">
        <f>SUMIFS('Accounting data'!$G$2:$G$37000,'Accounting data'!$H$2:$H$37000,"9999*",'Accounting data'!$I$2:$I$37000,"7*",'Accounting data'!$J$2:$J$37000,"31*",'Accounting data'!$K$2:$K$37000,"62*")+SUMIFS('Accounting data'!$G$2:$G$37000,'Accounting data'!$H$2:$H$37000,"9999*",'Accounting data'!$I$2:$I$37000,"8*",'Accounting data'!$J$2:$J$37000,"31*",'Accounting data'!$K$2:$K$37000,"62*")+SUMIFS('Accounting data'!$G$2:$G$37000,'Accounting data'!$H$2:$H$37000,"9999*",'Accounting data'!$I$2:$I$37000,"9*",'Accounting data'!$J$2:$J$37000,"31*",'Accounting data'!$K$2:$K$37000,"62*")</f>
        <v>0</v>
      </c>
    </row>
    <row r="174" spans="1:5" x14ac:dyDescent="0.2">
      <c r="A174" s="522"/>
      <c r="B174" s="522"/>
      <c r="C174" s="522"/>
      <c r="D174" s="522"/>
      <c r="E174" s="523"/>
    </row>
    <row r="175" spans="1:5" x14ac:dyDescent="0.2">
      <c r="A175" s="522"/>
      <c r="B175" s="522"/>
      <c r="C175" s="522"/>
      <c r="D175" s="522"/>
      <c r="E175" s="523"/>
    </row>
    <row r="176" spans="1:5" ht="15" x14ac:dyDescent="0.25">
      <c r="A176" s="525" t="s">
        <v>1018</v>
      </c>
      <c r="B176" s="525"/>
      <c r="C176" s="525"/>
      <c r="D176" s="525"/>
      <c r="E176" s="526">
        <f>(E170-E171-E172)+(E173+E174+E175)</f>
        <v>0</v>
      </c>
    </row>
    <row r="184" spans="1:5" x14ac:dyDescent="0.2">
      <c r="A184" s="522" t="s">
        <v>991</v>
      </c>
      <c r="B184" s="522" t="s">
        <v>991</v>
      </c>
      <c r="C184" s="522">
        <v>3400</v>
      </c>
      <c r="D184" s="522">
        <v>6200</v>
      </c>
      <c r="E184" s="523">
        <f>SUMIFS('Accounting data'!$G$2:$G$37000,'Accounting data'!$J$2:$J$37000,"34*",'Accounting data'!$K$2:$K$37000,"62*")</f>
        <v>0</v>
      </c>
    </row>
    <row r="185" spans="1:5" x14ac:dyDescent="0.2">
      <c r="A185" s="522" t="s">
        <v>992</v>
      </c>
      <c r="B185" s="522" t="s">
        <v>991</v>
      </c>
      <c r="C185" s="522">
        <v>3400</v>
      </c>
      <c r="D185" s="522">
        <v>6200</v>
      </c>
      <c r="E185" s="523">
        <f>SUMIFS('Accounting data'!$G$2:$G$37000,'Accounting data'!$H$2:$H$37000,"9999*",'Accounting data'!$J$2:$J$37000,"34*",'Accounting data'!$K$2:$K$37000,"62*")</f>
        <v>0</v>
      </c>
    </row>
    <row r="186" spans="1:5" x14ac:dyDescent="0.2">
      <c r="A186" s="522" t="s">
        <v>991</v>
      </c>
      <c r="B186" s="522" t="s">
        <v>993</v>
      </c>
      <c r="C186" s="522">
        <v>3400</v>
      </c>
      <c r="D186" s="522">
        <v>6200</v>
      </c>
      <c r="E186" s="523">
        <f>SUMIFS('Accounting data'!$G$2:$G$37000,'Accounting data'!$I$2:$I$37000,"7*",'Accounting data'!$J$2:$J$37000,"34*",'Accounting data'!$K$2:$K$37000,"62*")+SUMIFS('Accounting data'!$G$2:$G$37000,'Accounting data'!$I$2:$I$37000,"8*",'Accounting data'!$J$2:$J$37000,"34*",'Accounting data'!$K$2:$K$37000,"62*")+SUMIFS('Accounting data'!$G$2:$G$37000,'Accounting data'!$I$2:$I$37000,"9*",'Accounting data'!$J$2:$J$37000,"34*",'Accounting data'!$K$2:$K$37000,"62*")</f>
        <v>0</v>
      </c>
    </row>
    <row r="187" spans="1:5" x14ac:dyDescent="0.2">
      <c r="A187" s="524" t="s">
        <v>992</v>
      </c>
      <c r="B187" s="522" t="s">
        <v>993</v>
      </c>
      <c r="C187" s="522">
        <v>3400</v>
      </c>
      <c r="D187" s="522">
        <v>6200</v>
      </c>
      <c r="E187" s="523">
        <f>SUMIFS('Accounting data'!$G$2:$G$37000,'Accounting data'!$H$2:$H$37000,"9999*",'Accounting data'!$I$2:$I$37000,"7*",'Accounting data'!$J$2:$J$37000,"34*",'Accounting data'!$K$2:$K$37000,"62*")+SUMIFS('Accounting data'!$G$2:$G$37000,'Accounting data'!$H$2:$H$37000,"9999*",'Accounting data'!$I$2:$I$37000,"8*",'Accounting data'!$J$2:$J$37000,"34*",'Accounting data'!$K$2:$K$37000,"62*")+SUMIFS('Accounting data'!$G$2:$G$37000,'Accounting data'!$H$2:$H$37000,"9999*",'Accounting data'!$I$2:$I$37000,"9*",'Accounting data'!$J$2:$J$37000,"34*",'Accounting data'!$K$2:$K$37000,"62*")</f>
        <v>0</v>
      </c>
    </row>
    <row r="188" spans="1:5" x14ac:dyDescent="0.2">
      <c r="A188" s="522"/>
      <c r="B188" s="522"/>
      <c r="C188" s="522"/>
      <c r="D188" s="522"/>
      <c r="E188" s="523"/>
    </row>
    <row r="189" spans="1:5" x14ac:dyDescent="0.2">
      <c r="A189" s="522"/>
      <c r="B189" s="522"/>
      <c r="C189" s="522"/>
      <c r="D189" s="522"/>
      <c r="E189" s="523"/>
    </row>
    <row r="190" spans="1:5" ht="15" x14ac:dyDescent="0.25">
      <c r="A190" s="525" t="s">
        <v>1019</v>
      </c>
      <c r="B190" s="525"/>
      <c r="C190" s="525"/>
      <c r="D190" s="525"/>
      <c r="E190" s="526">
        <f>(E184-E185-E186)+(E187+E188+E189)</f>
        <v>0</v>
      </c>
    </row>
    <row r="191" spans="1:5" x14ac:dyDescent="0.2">
      <c r="A191" s="522" t="s">
        <v>991</v>
      </c>
      <c r="B191" s="522" t="s">
        <v>991</v>
      </c>
      <c r="C191" s="522">
        <v>4000</v>
      </c>
      <c r="D191" s="522">
        <v>6200</v>
      </c>
      <c r="E191" s="523">
        <f>SUMIFS('Accounting data'!$G$2:$G$37000,'Accounting data'!$J$2:$J$37000,"4*",'Accounting data'!$K$2:$K$37000,"62*")</f>
        <v>0</v>
      </c>
    </row>
    <row r="192" spans="1:5" x14ac:dyDescent="0.2">
      <c r="A192" s="522" t="s">
        <v>992</v>
      </c>
      <c r="B192" s="522" t="s">
        <v>991</v>
      </c>
      <c r="C192" s="522">
        <v>4000</v>
      </c>
      <c r="D192" s="522">
        <v>6200</v>
      </c>
      <c r="E192" s="523">
        <f>SUMIFS('Accounting data'!$G$2:$G$37000,'Accounting data'!$H$2:$H$37000,"9999*",'Accounting data'!$J$2:$J$37000,"4*",'Accounting data'!$K$2:$K$37000,"62*")</f>
        <v>0</v>
      </c>
    </row>
    <row r="193" spans="1:5" x14ac:dyDescent="0.2">
      <c r="A193" s="522" t="s">
        <v>991</v>
      </c>
      <c r="B193" s="522" t="s">
        <v>993</v>
      </c>
      <c r="C193" s="522">
        <v>4000</v>
      </c>
      <c r="D193" s="522">
        <v>6200</v>
      </c>
      <c r="E193" s="523">
        <f>SUMIFS('Accounting data'!$G$2:$G$37000,'Accounting data'!$I$2:$I$37000,"7*",'Accounting data'!$J$2:$J$37000,"4*",'Accounting data'!$K$2:$K$37000,"62*")+SUMIFS('Accounting data'!$G$2:$G$37000,'Accounting data'!$I$2:$I$37000,"8*",'Accounting data'!$J$2:$J$37000,"4*",'Accounting data'!$K$2:$K$37000,"62*")+SUMIFS('Accounting data'!$G$2:$G$37000,'Accounting data'!$I$2:$I$37000,"9*",'Accounting data'!$J$2:$J$37000,"4*",'Accounting data'!$K$2:$K$37000,"62*")</f>
        <v>0</v>
      </c>
    </row>
    <row r="194" spans="1:5" x14ac:dyDescent="0.2">
      <c r="A194" s="524" t="s">
        <v>992</v>
      </c>
      <c r="B194" s="522" t="s">
        <v>993</v>
      </c>
      <c r="C194" s="522">
        <v>4000</v>
      </c>
      <c r="D194" s="522">
        <v>6200</v>
      </c>
      <c r="E194" s="523">
        <f>SUMIFS('Accounting data'!$G$2:$G$37000,'Accounting data'!$H$2:$H$37000,"9999*",'Accounting data'!$I$2:$I$37000,"7*",'Accounting data'!$J$2:$J$37000,"4*",'Accounting data'!$K$2:$K$37000,"62*")+SUMIFS('Accounting data'!$G$2:$G$37000,'Accounting data'!$H$2:$H$37000,"9999*",'Accounting data'!$I$2:$I$37000,"8*",'Accounting data'!$J$2:$J$37000,"4*",'Accounting data'!$K$2:$K$37000,"62*")+SUMIFS('Accounting data'!$G$2:$G$37000,'Accounting data'!$H$2:$H$37000,"9999*",'Accounting data'!$I$2:$I$37000,"9*",'Accounting data'!$J$2:$J$37000,"4*",'Accounting data'!$K$2:$K$37000,"62*")</f>
        <v>0</v>
      </c>
    </row>
    <row r="195" spans="1:5" x14ac:dyDescent="0.2">
      <c r="A195" s="522"/>
      <c r="B195" s="522"/>
      <c r="C195" s="522"/>
      <c r="D195" s="522"/>
      <c r="E195" s="523"/>
    </row>
    <row r="196" spans="1:5" x14ac:dyDescent="0.2">
      <c r="A196" s="522"/>
      <c r="B196" s="522"/>
      <c r="C196" s="522"/>
      <c r="D196" s="522"/>
      <c r="E196" s="523"/>
    </row>
    <row r="197" spans="1:5" ht="15" x14ac:dyDescent="0.25">
      <c r="A197" s="525" t="s">
        <v>1020</v>
      </c>
      <c r="B197" s="525"/>
      <c r="C197" s="525"/>
      <c r="D197" s="525"/>
      <c r="E197" s="526">
        <f>(E191-E192-E193)+(E194+E195+E196)</f>
        <v>0</v>
      </c>
    </row>
    <row r="198" spans="1:5" ht="15" x14ac:dyDescent="0.25">
      <c r="A198" s="528" t="s">
        <v>1021</v>
      </c>
      <c r="B198" s="528"/>
      <c r="C198" s="528"/>
      <c r="D198" s="528"/>
      <c r="E198" s="529">
        <f>E113+E120+E127+E134+E141+E148+E155+E162+E169+E176+E183+E190</f>
        <v>119382</v>
      </c>
    </row>
    <row r="199" spans="1:5" ht="15" x14ac:dyDescent="0.25">
      <c r="A199" s="522" t="s">
        <v>1007</v>
      </c>
      <c r="B199" s="522" t="s">
        <v>991</v>
      </c>
      <c r="C199" s="522">
        <v>1000</v>
      </c>
      <c r="D199" s="522">
        <v>6200</v>
      </c>
      <c r="E199" s="530">
        <f>SUMIFS('Accounting data'!$G$2:$G$37000,'Accounting data'!$H$2:$H$37000,"11*",'Accounting data'!$J$2:$J$37000,"1*",'Accounting data'!$K$2:$K$37000,"62*")+SUMIFS('Accounting data'!$G$2:$G$37000,'Accounting data'!$H$2:$H$37000,"12*",'Accounting data'!$J$2:$J$37000,"1*",'Accounting data'!$K$2:$K$37000,"62*")+SUMIFS('Accounting data'!$G$2:$G$37000,'Accounting data'!$H$2:$H$37000,"13*",'Accounting data'!$J$2:$J$37000,"1*",'Accounting data'!$K$2:$K$37000,"62*")</f>
        <v>0</v>
      </c>
    </row>
    <row r="200" spans="1:5" ht="15" x14ac:dyDescent="0.25">
      <c r="A200" s="522" t="s">
        <v>1007</v>
      </c>
      <c r="B200" s="522" t="s">
        <v>991</v>
      </c>
      <c r="C200" s="522">
        <v>2000</v>
      </c>
      <c r="D200" s="522">
        <v>6200</v>
      </c>
      <c r="E200" s="530">
        <f>SUMIFS('Accounting data'!$G$2:$G$37000,'Accounting data'!$H$2:$H$37000,"11*",'Accounting data'!$J$2:$J$37000,"2*",'Accounting data'!$K$2:$K$37000,"62*")+SUMIFS('Accounting data'!$G$2:$G$37000,'Accounting data'!$H$2:$H$37000,"12*",'Accounting data'!$J$2:$J$37000,"2*",'Accounting data'!$K$2:$K$37000,"62*")+SUMIFS('Accounting data'!$G$2:$G$37000,'Accounting data'!$H$2:$H$37000,"13*",'Accounting data'!$J$2:$J$37000,"2*",'Accounting data'!$K$2:$K$37000,"62*")</f>
        <v>0</v>
      </c>
    </row>
    <row r="201" spans="1:5" ht="15" x14ac:dyDescent="0.25">
      <c r="A201" s="522" t="s">
        <v>1007</v>
      </c>
      <c r="B201" s="522" t="s">
        <v>991</v>
      </c>
      <c r="C201" s="522">
        <v>3000</v>
      </c>
      <c r="D201" s="522">
        <v>6200</v>
      </c>
      <c r="E201" s="530">
        <f>SUMIFS('Accounting data'!$G$2:$G$37000,'Accounting data'!$H$2:$H$37000,"11*",'Accounting data'!$J$2:$J$37000,"3*",'Accounting data'!$K$2:$K$37000,"62*")+SUMIFS('Accounting data'!$G$2:$G$37000,'Accounting data'!$H$2:$H$37000,"12*",'Accounting data'!$J$2:$J$37000,"3*",'Accounting data'!$K$2:$K$37000,"62*")+SUMIFS('Accounting data'!$G$2:$G$37000,'Accounting data'!$H$2:$H$37000,"13*",'Accounting data'!$J$2:$J$37000,"3*",'Accounting data'!$K$2:$K$37000,"62*")</f>
        <v>0</v>
      </c>
    </row>
    <row r="202" spans="1:5" ht="15" x14ac:dyDescent="0.25">
      <c r="A202" s="522" t="s">
        <v>1007</v>
      </c>
      <c r="B202" s="524">
        <v>700</v>
      </c>
      <c r="C202" s="522">
        <v>1000</v>
      </c>
      <c r="D202" s="522">
        <v>6200</v>
      </c>
      <c r="E202" s="530">
        <f>SUMIFS('Accounting data'!$G$2:$G$37000,'Accounting data'!$H$2:$H$37000,"11*",'Accounting data'!$I$2:$I$37000,"7*",'Accounting data'!$J$2:$J$37000,"1*",'Accounting data'!$K$2:$K$37000,"62*")+SUMIFS('Accounting data'!$G$2:$G$37000,'Accounting data'!$H$2:$H$37000,"12*",'Accounting data'!$I$2:$I$37000,"7*",'Accounting data'!$J$2:$J$37000,"1*",'Accounting data'!$K$2:$K$37000,"62*")+SUMIFS('Accounting data'!$G$2:$G$37000,'Accounting data'!$H$2:$H$37000,"13*",'Accounting data'!$I$2:$I$37000,"7*",'Accounting data'!$J$2:$J$37000,"1*",'Accounting data'!$K$2:$K$37000,"62*")</f>
        <v>0</v>
      </c>
    </row>
    <row r="203" spans="1:5" ht="15" x14ac:dyDescent="0.25">
      <c r="A203" s="522" t="s">
        <v>1007</v>
      </c>
      <c r="B203" s="524">
        <v>800</v>
      </c>
      <c r="C203" s="522">
        <v>1000</v>
      </c>
      <c r="D203" s="522">
        <v>6200</v>
      </c>
      <c r="E203" s="530">
        <f>SUMIFS('Accounting data'!$G$2:$G$37000,'Accounting data'!$H$2:$H$37000,"11*",'Accounting data'!$I$2:$I$37000,"8*",'Accounting data'!$J$2:$J$37000,"1*",'Accounting data'!$K$2:$K$37000,"62*")+SUMIFS('Accounting data'!$G$2:$G$37000,'Accounting data'!$H$2:$H$37000,"12*",'Accounting data'!$I$2:$I$37000,"8*",'Accounting data'!$J$2:$J$37000,"1*",'Accounting data'!$K$2:$K$37000,"62*")+SUMIFS('Accounting data'!$G$2:$G$37000,'Accounting data'!$H$2:$H$37000,"13*",'Accounting data'!$I$2:$I$37000,"8*",'Accounting data'!$J$2:$J$37000,"1*",'Accounting data'!$K$2:$K$37000,"62*")</f>
        <v>0</v>
      </c>
    </row>
    <row r="204" spans="1:5" ht="15" x14ac:dyDescent="0.25">
      <c r="A204" s="522" t="s">
        <v>1007</v>
      </c>
      <c r="B204" s="524">
        <v>900</v>
      </c>
      <c r="C204" s="522">
        <v>1000</v>
      </c>
      <c r="D204" s="522">
        <v>6200</v>
      </c>
      <c r="E204" s="530">
        <f>SUMIFS('Accounting data'!$G$2:$G$37000,'Accounting data'!$H$2:$H$37000,"11*",'Accounting data'!$I$2:$I$37000,"9*",'Accounting data'!$J$2:$J$37000,"1*",'Accounting data'!$K$2:$K$37000,"62*")+SUMIFS('Accounting data'!$G$2:$G$37000,'Accounting data'!$H$2:$H$37000,"12*",'Accounting data'!$I$2:$I$37000,"9*",'Accounting data'!$J$2:$J$37000,"1*",'Accounting data'!$K$2:$K$37000,"62*")+SUMIFS('Accounting data'!$G$2:$G$37000,'Accounting data'!$H$2:$H$37000,"13*",'Accounting data'!$I$2:$I$37000,"9*",'Accounting data'!$J$2:$J$37000,"1*",'Accounting data'!$K$2:$K$37000,"62*")</f>
        <v>0</v>
      </c>
    </row>
    <row r="205" spans="1:5" ht="15" x14ac:dyDescent="0.25">
      <c r="A205" s="522" t="s">
        <v>1007</v>
      </c>
      <c r="B205" s="524">
        <v>700</v>
      </c>
      <c r="C205" s="522">
        <v>2000</v>
      </c>
      <c r="D205" s="522">
        <v>6200</v>
      </c>
      <c r="E205" s="530">
        <f>SUMIFS('Accounting data'!$G$2:$G$37000,'Accounting data'!$H$2:$H$37000,"11*",'Accounting data'!$I$2:$I$37000,"7*",'Accounting data'!$J$2:$J$37000,"2*",'Accounting data'!$K$2:$K$37000,"62*")+SUMIFS('Accounting data'!$G$2:$G$37000,'Accounting data'!$H$2:$H$37000,"12*",'Accounting data'!$I$2:$I$37000,"7*",'Accounting data'!$J$2:$J$37000,"2*",'Accounting data'!$K$2:$K$37000,"62*")+SUMIFS('Accounting data'!$G$2:$G$37000,'Accounting data'!$H$2:$H$37000,"13*",'Accounting data'!$I$2:$I$37000,"7*",'Accounting data'!$J$2:$J$37000,"2*",'Accounting data'!$K$2:$K$37000,"62*")</f>
        <v>0</v>
      </c>
    </row>
    <row r="206" spans="1:5" ht="15" x14ac:dyDescent="0.25">
      <c r="A206" s="522" t="s">
        <v>1007</v>
      </c>
      <c r="B206" s="524">
        <v>800</v>
      </c>
      <c r="C206" s="522">
        <v>2000</v>
      </c>
      <c r="D206" s="522">
        <v>6200</v>
      </c>
      <c r="E206" s="530">
        <f>SUMIFS('Accounting data'!$G$2:$G$37000,'Accounting data'!$H$2:$H$37000,"11*",'Accounting data'!$I$2:$I$37000,"8*",'Accounting data'!$J$2:$J$37000,"2*",'Accounting data'!$K$2:$K$37000,"62*")+SUMIFS('Accounting data'!$G$2:$G$37000,'Accounting data'!$H$2:$H$37000,"12*",'Accounting data'!$I$2:$I$37000,"8*",'Accounting data'!$J$2:$J$37000,"2*",'Accounting data'!$K$2:$K$37000,"62*")+SUMIFS('Accounting data'!$G$2:$G$37000,'Accounting data'!$H$2:$H$37000,"13*",'Accounting data'!$I$2:$I$37000,"8*",'Accounting data'!$J$2:$J$37000,"2*",'Accounting data'!$K$2:$K$37000,"62*")</f>
        <v>0</v>
      </c>
    </row>
    <row r="207" spans="1:5" ht="15" x14ac:dyDescent="0.25">
      <c r="A207" s="522" t="s">
        <v>1007</v>
      </c>
      <c r="B207" s="524">
        <v>900</v>
      </c>
      <c r="C207" s="522">
        <v>2000</v>
      </c>
      <c r="D207" s="522">
        <v>6200</v>
      </c>
      <c r="E207" s="530">
        <f>SUMIFS('Accounting data'!$G$2:$G$37000,'Accounting data'!$H$2:$H$37000,"11*",'Accounting data'!$I$2:$I$37000,"9*",'Accounting data'!$J$2:$J$37000,"2*",'Accounting data'!$K$2:$K$37000,"62*")+SUMIFS('Accounting data'!$G$2:$G$37000,'Accounting data'!$H$2:$H$37000,"12*",'Accounting data'!$I$2:$I$37000,"9*",'Accounting data'!$J$2:$J$37000,"2*",'Accounting data'!$K$2:$K$37000,"62*")+SUMIFS('Accounting data'!$G$2:$G$37000,'Accounting data'!$H$2:$H$37000,"13*",'Accounting data'!$I$2:$I$37000,"9*",'Accounting data'!$J$2:$J$37000,"2*",'Accounting data'!$K$2:$K$37000,"62*")</f>
        <v>0</v>
      </c>
    </row>
    <row r="208" spans="1:5" ht="15" x14ac:dyDescent="0.25">
      <c r="A208" s="522" t="s">
        <v>1007</v>
      </c>
      <c r="B208" s="524">
        <v>700</v>
      </c>
      <c r="C208" s="522">
        <v>3000</v>
      </c>
      <c r="D208" s="522">
        <v>6200</v>
      </c>
      <c r="E208" s="530">
        <f>SUMIFS('Accounting data'!$G$2:$G$37000,'Accounting data'!$H$2:$H$37000,"11*",'Accounting data'!$I$2:$I$37000,"7*",'Accounting data'!$J$2:$J$37000,"3*",'Accounting data'!$K$2:$K$37000,"62*")+SUMIFS('Accounting data'!$G$2:$G$37000,'Accounting data'!$H$2:$H$37000,"12*",'Accounting data'!$I$2:$I$37000,"7*",'Accounting data'!$J$2:$J$37000,"3*",'Accounting data'!$K$2:$K$37000,"62*")+SUMIFS('Accounting data'!$G$2:$G$37000,'Accounting data'!$H$2:$H$37000,"13*",'Accounting data'!$I$2:$I$37000,"7*",'Accounting data'!$J$2:$J$37000,"3*",'Accounting data'!$K$2:$K$37000,"62*")</f>
        <v>0</v>
      </c>
    </row>
    <row r="209" spans="1:5" ht="15" x14ac:dyDescent="0.25">
      <c r="A209" s="522" t="s">
        <v>1007</v>
      </c>
      <c r="B209" s="524">
        <v>800</v>
      </c>
      <c r="C209" s="522">
        <v>3000</v>
      </c>
      <c r="D209" s="522">
        <v>6200</v>
      </c>
      <c r="E209" s="530">
        <f>SUMIFS('Accounting data'!$G$2:$G$37000,'Accounting data'!$H$2:$H$37000,"11*",'Accounting data'!$I$2:$I$37000,"8*",'Accounting data'!$J$2:$J$37000,"3*",'Accounting data'!$K$2:$K$37000,"62*")+SUMIFS('Accounting data'!$G$2:$G$37000,'Accounting data'!$H$2:$H$37000,"12*",'Accounting data'!$I$2:$I$37000,"8*",'Accounting data'!$J$2:$J$37000,"3*",'Accounting data'!$K$2:$K$37000,"62*")+SUMIFS('Accounting data'!$G$2:$G$37000,'Accounting data'!$H$2:$H$37000,"13*",'Accounting data'!$I$2:$I$37000,"8*",'Accounting data'!$J$2:$J$37000,"3*",'Accounting data'!$K$2:$K$37000,"62*")</f>
        <v>0</v>
      </c>
    </row>
    <row r="210" spans="1:5" ht="15" x14ac:dyDescent="0.25">
      <c r="A210" s="522" t="s">
        <v>1007</v>
      </c>
      <c r="B210" s="524">
        <v>900</v>
      </c>
      <c r="C210" s="522">
        <v>3000</v>
      </c>
      <c r="D210" s="522">
        <v>6200</v>
      </c>
      <c r="E210" s="530">
        <f>SUMIFS('Accounting data'!$G$2:$G$37000,'Accounting data'!$H$2:$H$37000,"11*",'Accounting data'!$I$2:$I$37000,"9*",'Accounting data'!$J$2:$J$37000,"3*",'Accounting data'!$K$2:$K$37000,"62*")+SUMIFS('Accounting data'!$G$2:$G$37000,'Accounting data'!$H$2:$H$37000,"12*",'Accounting data'!$I$2:$I$37000,"9*",'Accounting data'!$J$2:$J$37000,"3*",'Accounting data'!$K$2:$K$37000,"62*")+SUMIFS('Accounting data'!$G$2:$G$37000,'Accounting data'!$H$2:$H$37000,"13*",'Accounting data'!$I$2:$I$37000,"9*",'Accounting data'!$J$2:$J$37000,"3*",'Accounting data'!$K$2:$K$37000,"62*")</f>
        <v>0</v>
      </c>
    </row>
    <row r="211" spans="1:5" ht="15" x14ac:dyDescent="0.25">
      <c r="A211" s="525" t="s">
        <v>1022</v>
      </c>
      <c r="B211" s="525"/>
      <c r="C211" s="525"/>
      <c r="D211" s="525"/>
      <c r="E211" s="526">
        <f>(E199+E200+E201)-(E202+E203+E204+E205+E206+E207+E208+E209+E210)</f>
        <v>0</v>
      </c>
    </row>
    <row r="212" spans="1:5" ht="15" x14ac:dyDescent="0.25">
      <c r="A212" s="522" t="s">
        <v>991</v>
      </c>
      <c r="B212" s="522" t="s">
        <v>991</v>
      </c>
      <c r="C212" s="522">
        <v>1000</v>
      </c>
      <c r="D212" s="531" t="s">
        <v>1023</v>
      </c>
      <c r="E212" s="530">
        <f>SUMIFS('Accounting data'!$G$2:$G$37000,'Accounting data'!$J$2:$J$37000,"1*",'Accounting data'!$K$2:$K$37000,"63*")+SUMIFS('Accounting data'!$G$2:$G$37000,'Accounting data'!$J$2:$J$37000,"1*",'Accounting data'!$K$2:$K$37000,"64*")+SUMIFS('Accounting data'!$G$2:$G$37000,'Accounting data'!$J$2:$J$37000,"1*",'Accounting data'!$K$2:$K$37000,"65*")</f>
        <v>2258333</v>
      </c>
    </row>
    <row r="213" spans="1:5" ht="15" x14ac:dyDescent="0.25">
      <c r="A213" s="522" t="s">
        <v>992</v>
      </c>
      <c r="B213" s="522" t="s">
        <v>991</v>
      </c>
      <c r="C213" s="522">
        <v>1000</v>
      </c>
      <c r="D213" s="522">
        <v>6300</v>
      </c>
      <c r="E213" s="530">
        <f>SUMIFS('Accounting data'!$G$2:$G$37000,'Accounting data'!$H$2:$H$37000,"9999*",'Accounting data'!$J$2:$J$37000,"1*",'Accounting data'!$K$2:$K$37000,"63*")</f>
        <v>0</v>
      </c>
    </row>
    <row r="214" spans="1:5" ht="15" x14ac:dyDescent="0.25">
      <c r="A214" s="522" t="s">
        <v>992</v>
      </c>
      <c r="B214" s="522" t="s">
        <v>991</v>
      </c>
      <c r="C214" s="522">
        <v>1000</v>
      </c>
      <c r="D214" s="522">
        <v>6400</v>
      </c>
      <c r="E214" s="530">
        <f>SUMIFS('Accounting data'!$G$2:$G$37000,'Accounting data'!$H$2:$H$37000,"9999*",'Accounting data'!$J$2:$J$37000,"1*",'Accounting data'!$K$2:$K$37000,"64*")</f>
        <v>0</v>
      </c>
    </row>
    <row r="215" spans="1:5" ht="15" x14ac:dyDescent="0.25">
      <c r="A215" s="522" t="s">
        <v>992</v>
      </c>
      <c r="B215" s="522" t="s">
        <v>991</v>
      </c>
      <c r="C215" s="522">
        <v>1000</v>
      </c>
      <c r="D215" s="522">
        <v>6500</v>
      </c>
      <c r="E215" s="530">
        <f>SUMIFS('Accounting data'!$G$2:$G$37000,'Accounting data'!$H$2:$H$37000,"9999*",'Accounting data'!$J$2:$J$37000,"1*",'Accounting data'!$K$2:$K$37000,"65*")</f>
        <v>0</v>
      </c>
    </row>
    <row r="216" spans="1:5" ht="15" x14ac:dyDescent="0.25">
      <c r="A216" s="522" t="s">
        <v>991</v>
      </c>
      <c r="B216" s="522" t="s">
        <v>993</v>
      </c>
      <c r="C216" s="522">
        <v>1000</v>
      </c>
      <c r="D216" s="531" t="s">
        <v>1023</v>
      </c>
      <c r="E216" s="530">
        <f>SUMIFS('Accounting data'!$G$2:$G$37000,'Accounting data'!$I$2:$I$37000,"7*",'Accounting data'!$J$2:$J$37000,"1*",'Accounting data'!$K$2:$K$37000,"63*")+SUMIFS('Accounting data'!$G$2:$G$37000,'Accounting data'!$I$2:$I$37000,"8*",'Accounting data'!$J$2:$J$37000,"1*",'Accounting data'!$K$2:$K$37000,"63*")+SUMIFS('Accounting data'!$G$2:$G$37000,'Accounting data'!$I$2:$I$37000,"9*",'Accounting data'!$J$2:$J$37000,"1*",'Accounting data'!$K$2:$K$37000,"63*")+SUMIFS('Accounting data'!$G$2:$G$37000,'Accounting data'!$I$2:$I$37000,"7*",'Accounting data'!$J$2:$J$37000,"1*",'Accounting data'!$K$2:$K$37000,"64*")+SUMIFS('Accounting data'!$G$2:$G$37000,'Accounting data'!$I$2:$I$37000,"8*",'Accounting data'!$J$2:$J$37000,"1*",'Accounting data'!$K$2:$K$37000,"64*")+SUMIFS('Accounting data'!$G$2:$G$37000,'Accounting data'!$I$2:$I$37000,"9*",'Accounting data'!$J$2:$J$37000,"1*",'Accounting data'!$K$2:$K$37000,"64*")+SUMIFS('Accounting data'!$G$2:$G$37000,'Accounting data'!$I$2:$I$37000,"7*",'Accounting data'!$J$2:$J$37000,"1*",'Accounting data'!$K$2:$K$37000,"65*")+SUMIFS('Accounting data'!$G$2:$G$37000,'Accounting data'!$I$2:$I$37000,"8*",'Accounting data'!$J$2:$J$37000,"1*",'Accounting data'!$K$2:$K$37000,"65*")+SUMIFS('Accounting data'!$G$2:$G$37000,'Accounting data'!$I$2:$I$37000,"9*",'Accounting data'!$J$2:$J$37000,"1*",'Accounting data'!$K$2:$K$37000,"65*")</f>
        <v>0</v>
      </c>
    </row>
    <row r="217" spans="1:5" ht="15" x14ac:dyDescent="0.25">
      <c r="A217" s="524" t="s">
        <v>992</v>
      </c>
      <c r="B217" s="522" t="s">
        <v>993</v>
      </c>
      <c r="C217" s="522">
        <v>1000</v>
      </c>
      <c r="D217" s="522">
        <v>6300</v>
      </c>
      <c r="E217" s="530">
        <f>SUMIFS('Accounting data'!$G$2:$G$37000,'Accounting data'!$H$2:$H$37000,"9999*",'Accounting data'!$I$2:$I$37000,"7*",'Accounting data'!$J$2:$J$37000,"1*",'Accounting data'!$K$2:$K$37000,"63*")+SUMIFS('Accounting data'!$G$2:$G$37000,'Accounting data'!$H$2:$H$37000,"9999*",'Accounting data'!$I$2:$I$37000,"8*",'Accounting data'!$J$2:$J$37000,"1*",'Accounting data'!$K$2:$K$37000,"63*")+SUMIFS('Accounting data'!$G$2:$G$37000,'Accounting data'!$H$2:$H$37000,"9999*",'Accounting data'!$I$2:$I$37000,"9*",'Accounting data'!$J$2:$J$37000,"1*",'Accounting data'!$K$2:$K$37000,"63*")</f>
        <v>0</v>
      </c>
    </row>
    <row r="218" spans="1:5" ht="15" x14ac:dyDescent="0.25">
      <c r="A218" s="524" t="s">
        <v>992</v>
      </c>
      <c r="B218" s="522" t="s">
        <v>993</v>
      </c>
      <c r="C218" s="522">
        <v>1000</v>
      </c>
      <c r="D218" s="522">
        <v>6400</v>
      </c>
      <c r="E218" s="530">
        <f>SUMIFS('Accounting data'!$G$2:$G$37000,'Accounting data'!$H$2:$H$37000,"9999*",'Accounting data'!$I$2:$I$37000,"7*",'Accounting data'!$J$2:$J$37000,"1*",'Accounting data'!$K$2:$K$37000,"64*")+SUMIFS('Accounting data'!$G$2:$G$37000,'Accounting data'!$H$2:$H$37000,"9999*",'Accounting data'!$I$2:$I$37000,"8*",'Accounting data'!$J$2:$J$37000,"1*",'Accounting data'!$K$2:$K$37000,"64*")+SUMIFS('Accounting data'!$G$2:$G$37000,'Accounting data'!$H$2:$H$37000,"9999*",'Accounting data'!$I$2:$I$37000,"9*",'Accounting data'!$J$2:$J$37000,"1*",'Accounting data'!$K$2:$K$37000,"64*")</f>
        <v>0</v>
      </c>
    </row>
    <row r="219" spans="1:5" ht="15" x14ac:dyDescent="0.25">
      <c r="A219" s="524" t="s">
        <v>992</v>
      </c>
      <c r="B219" s="522" t="s">
        <v>993</v>
      </c>
      <c r="C219" s="522">
        <v>1000</v>
      </c>
      <c r="D219" s="522">
        <v>6500</v>
      </c>
      <c r="E219" s="530">
        <f>SUMIFS('Accounting data'!$G$2:$G$37000,'Accounting data'!$H$2:$H$37000,"9999*",'Accounting data'!$I$2:$I$37000,"7*",'Accounting data'!$J$2:$J$37000,"1*",'Accounting data'!$K$2:$K$37000,"65*")+SUMIFS('Accounting data'!$G$2:$G$37000,'Accounting data'!$H$2:$H$37000,"9999*",'Accounting data'!$I$2:$I$37000,"8*",'Accounting data'!$J$2:$J$37000,"1*",'Accounting data'!$K$2:$K$37000,"65*")+SUMIFS('Accounting data'!$G$2:$G$37000,'Accounting data'!$H$2:$H$37000,"9999*",'Accounting data'!$I$2:$I$37000,"9*",'Accounting data'!$J$2:$J$37000,"1*",'Accounting data'!$K$2:$K$37000,"65*")</f>
        <v>0</v>
      </c>
    </row>
    <row r="238" spans="1:5" ht="15" x14ac:dyDescent="0.25">
      <c r="A238" s="525" t="s">
        <v>1024</v>
      </c>
      <c r="B238" s="525"/>
      <c r="C238" s="525"/>
      <c r="D238" s="525"/>
      <c r="E238" s="526">
        <f>((E212-E213-E214-E215-E216)+(E217+E218+E219+E220+E221+E222+E223+E224+E225))-((E226-E227-E228)+(E229+E230+E231))-((E232-E233-E234)+(E235+E236+E237))</f>
        <v>2258333</v>
      </c>
    </row>
    <row r="239" spans="1:5" x14ac:dyDescent="0.2">
      <c r="A239" s="522" t="s">
        <v>991</v>
      </c>
      <c r="B239" s="522" t="s">
        <v>991</v>
      </c>
      <c r="C239" s="522">
        <v>2100</v>
      </c>
      <c r="D239" s="531" t="s">
        <v>1023</v>
      </c>
      <c r="E239" s="523">
        <f>SUMIFS('Accounting data'!$G$2:$G$37000,'Accounting data'!$J$2:$J$37000,"21*",'Accounting data'!$K$2:$K$37000,"63*")+SUMIFS('Accounting data'!$G$2:$G$37000,'Accounting data'!$J$2:$J$37000,"21*",'Accounting data'!$K$2:$K$37000,"64*")+SUMIFS('Accounting data'!$G$2:$G$37000,'Accounting data'!$J$2:$J$37000,"21*",'Accounting data'!$K$2:$K$37000,"65*")</f>
        <v>236341</v>
      </c>
    </row>
    <row r="240" spans="1:5" x14ac:dyDescent="0.2">
      <c r="A240" s="522" t="s">
        <v>992</v>
      </c>
      <c r="B240" s="522" t="s">
        <v>991</v>
      </c>
      <c r="C240" s="522">
        <v>2100</v>
      </c>
      <c r="D240" s="522">
        <v>6300</v>
      </c>
      <c r="E240" s="523">
        <f>SUMIFS('Accounting data'!$G$2:$G$37000,'Accounting data'!$H$2:$H$37000,"9999*",'Accounting data'!$J$2:$J$37000,"21*",'Accounting data'!$K$2:$K$37000,"63*")</f>
        <v>0</v>
      </c>
    </row>
    <row r="241" spans="1:5" x14ac:dyDescent="0.2">
      <c r="A241" s="522" t="s">
        <v>992</v>
      </c>
      <c r="B241" s="522" t="s">
        <v>991</v>
      </c>
      <c r="C241" s="522">
        <v>2100</v>
      </c>
      <c r="D241" s="522">
        <v>6400</v>
      </c>
      <c r="E241" s="523">
        <f>SUMIFS('Accounting data'!$G$2:$G$37000,'Accounting data'!$H$2:$H$37000,"9999*",'Accounting data'!$J$2:$J$37000,"21*",'Accounting data'!$K$2:$K$37000,"64*")</f>
        <v>0</v>
      </c>
    </row>
    <row r="242" spans="1:5" x14ac:dyDescent="0.2">
      <c r="A242" s="522" t="s">
        <v>992</v>
      </c>
      <c r="B242" s="522" t="s">
        <v>991</v>
      </c>
      <c r="C242" s="522">
        <v>2100</v>
      </c>
      <c r="D242" s="522">
        <v>6500</v>
      </c>
      <c r="E242" s="523">
        <f>SUMIFS('Accounting data'!$G$2:$G$37000,'Accounting data'!$H$2:$H$37000,"9999*",'Accounting data'!$J$2:$J$37000,"21*",'Accounting data'!$K$2:$K$37000,"65*")</f>
        <v>0</v>
      </c>
    </row>
    <row r="243" spans="1:5" x14ac:dyDescent="0.2">
      <c r="A243" s="522" t="s">
        <v>991</v>
      </c>
      <c r="B243" s="522" t="s">
        <v>993</v>
      </c>
      <c r="C243" s="522">
        <v>2100</v>
      </c>
      <c r="D243" s="531" t="s">
        <v>1023</v>
      </c>
      <c r="E243" s="523">
        <f>SUMIFS('Accounting data'!$G$2:$G$37000,'Accounting data'!$I$2:$I$37000,"7*",'Accounting data'!$J$2:$J$37000,"21*",'Accounting data'!$K$2:$K$37000,"63*")+SUMIFS('Accounting data'!$G$2:$G$37000,'Accounting data'!$I$2:$I$37000,"8*",'Accounting data'!$J$2:$J$37000,"21*",'Accounting data'!$K$2:$K$37000,"63*")+SUMIFS('Accounting data'!$G$2:$G$37000,'Accounting data'!$I$2:$I$37000,"9*",'Accounting data'!$J$2:$J$37000,"21*",'Accounting data'!$K$2:$K$37000,"63*")+SUMIFS('Accounting data'!$G$2:$G$37000,'Accounting data'!$I$2:$I$37000,"7*",'Accounting data'!$J$2:$J$37000,"21*",'Accounting data'!$K$2:$K$37000,"64*")+SUMIFS('Accounting data'!$G$2:$G$37000,'Accounting data'!$I$2:$I$37000,"8*",'Accounting data'!$J$2:$J$37000,"21*",'Accounting data'!$K$2:$K$37000,"64*")+SUMIFS('Accounting data'!$G$2:$G$37000,'Accounting data'!$I$2:$I$37000,"9*",'Accounting data'!$J$2:$J$37000,"21*",'Accounting data'!$K$2:$K$37000,"64*")+SUMIFS('Accounting data'!$G$2:$G$37000,'Accounting data'!$I$2:$I$37000,"7*",'Accounting data'!$J$2:$J$37000,"21*",'Accounting data'!$K$2:$K$37000,"65*")+SUMIFS('Accounting data'!$G$2:$G$37000,'Accounting data'!$I$2:$I$37000,"8*",'Accounting data'!$J$2:$J$37000,"21*",'Accounting data'!$K$2:$K$37000,"65*")+SUMIFS('Accounting data'!$G$2:$G$37000,'Accounting data'!$I$2:$I$37000,"9*",'Accounting data'!$J$2:$J$37000,"21*",'Accounting data'!$K$2:$K$37000,"65*")</f>
        <v>0</v>
      </c>
    </row>
    <row r="244" spans="1:5" x14ac:dyDescent="0.2">
      <c r="A244" s="524" t="s">
        <v>992</v>
      </c>
      <c r="B244" s="522" t="s">
        <v>993</v>
      </c>
      <c r="C244" s="522">
        <v>2100</v>
      </c>
      <c r="D244" s="522">
        <v>6300</v>
      </c>
      <c r="E244" s="523">
        <f>SUMIFS('Accounting data'!$G$2:$G$37000,'Accounting data'!$H$2:$H$37000,"9999*",'Accounting data'!$I$2:$I$37000,"7*",'Accounting data'!$J$2:$J$37000,"21*",'Accounting data'!$K$2:$K$37000,"63*")+SUMIFS('Accounting data'!$G$2:$G$37000,'Accounting data'!$H$2:$H$37000,"9999*",'Accounting data'!$I$2:$I$37000,"8*",'Accounting data'!$J$2:$J$37000,"21*",'Accounting data'!$K$2:$K$37000,"63*")+SUMIFS('Accounting data'!$G$2:$G$37000,'Accounting data'!$H$2:$H$37000,"9999*",'Accounting data'!$I$2:$I$37000,"9*",'Accounting data'!$J$2:$J$37000,"21*",'Accounting data'!$K$2:$K$37000,"63*")</f>
        <v>0</v>
      </c>
    </row>
    <row r="245" spans="1:5" x14ac:dyDescent="0.2">
      <c r="A245" s="524" t="s">
        <v>992</v>
      </c>
      <c r="B245" s="522" t="s">
        <v>993</v>
      </c>
      <c r="C245" s="522">
        <v>2100</v>
      </c>
      <c r="D245" s="522">
        <v>6400</v>
      </c>
      <c r="E245" s="523">
        <f>SUMIFS('Accounting data'!$G$2:$G$37000,'Accounting data'!$H$2:$H$37000,"9999*",'Accounting data'!$I$2:$I$37000,"7*",'Accounting data'!$J$2:$J$37000,"21*",'Accounting data'!$K$2:$K$37000,"64*")+SUMIFS('Accounting data'!$G$2:$G$37000,'Accounting data'!$H$2:$H$37000,"9999*",'Accounting data'!$I$2:$I$37000,"8*",'Accounting data'!$J$2:$J$37000,"21*",'Accounting data'!$K$2:$K$37000,"64*")+SUMIFS('Accounting data'!$G$2:$G$37000,'Accounting data'!$H$2:$H$37000,"9999*",'Accounting data'!$I$2:$I$37000,"9*",'Accounting data'!$J$2:$J$37000,"21*",'Accounting data'!$K$2:$K$37000,"64*")</f>
        <v>0</v>
      </c>
    </row>
    <row r="246" spans="1:5" x14ac:dyDescent="0.2">
      <c r="A246" s="524" t="s">
        <v>992</v>
      </c>
      <c r="B246" s="522" t="s">
        <v>993</v>
      </c>
      <c r="C246" s="522">
        <v>2100</v>
      </c>
      <c r="D246" s="522">
        <v>6500</v>
      </c>
      <c r="E246" s="523">
        <f>SUMIFS('Accounting data'!$G$2:$G$37000,'Accounting data'!$H$2:$H$37000,"9999*",'Accounting data'!$I$2:$I$37000,"7*",'Accounting data'!$J$2:$J$37000,"21*",'Accounting data'!$K$2:$K$37000,"65*")+SUMIFS('Accounting data'!$G$2:$G$37000,'Accounting data'!$H$2:$H$37000,"9999*",'Accounting data'!$I$2:$I$37000,"8*",'Accounting data'!$J$2:$J$37000,"21*",'Accounting data'!$K$2:$K$37000,"65*")+SUMIFS('Accounting data'!$G$2:$G$37000,'Accounting data'!$H$2:$H$37000,"9999*",'Accounting data'!$I$2:$I$37000,"9*",'Accounting data'!$J$2:$J$37000,"21*",'Accounting data'!$K$2:$K$37000,"65*")</f>
        <v>0</v>
      </c>
    </row>
    <row r="265" spans="1:5" x14ac:dyDescent="0.2">
      <c r="A265" s="525" t="s">
        <v>1025</v>
      </c>
      <c r="B265" s="525"/>
      <c r="C265" s="525"/>
      <c r="D265" s="525"/>
      <c r="E265" s="527">
        <f>((E239-E240-E241-E242-E243)+(E244+E245+E246+E247+E248+E249+E250+E251+E252))-((E253-E254-E255)+(E256+E257+E258))-((E259-E260-E261)+(E262+E263+E264))</f>
        <v>236341</v>
      </c>
    </row>
    <row r="266" spans="1:5" x14ac:dyDescent="0.2">
      <c r="A266" s="522" t="s">
        <v>991</v>
      </c>
      <c r="B266" s="522" t="s">
        <v>991</v>
      </c>
      <c r="C266" s="522">
        <v>2200</v>
      </c>
      <c r="D266" s="531" t="s">
        <v>1023</v>
      </c>
      <c r="E266" s="523">
        <f>SUMIFS('Accounting data'!$G$2:$G$37000,'Accounting data'!$J$2:$J$37000,"22*",'Accounting data'!$K$2:$K$37000,"63*")+SUMIFS('Accounting data'!$G$2:$G$37000,'Accounting data'!$J$2:$J$37000,"22*",'Accounting data'!$K$2:$K$37000,"64*")+SUMIFS('Accounting data'!$G$2:$G$37000,'Accounting data'!$J$2:$J$37000,"22*",'Accounting data'!$K$2:$K$37000,"65*")</f>
        <v>83611</v>
      </c>
    </row>
    <row r="267" spans="1:5" x14ac:dyDescent="0.2">
      <c r="A267" s="522" t="s">
        <v>992</v>
      </c>
      <c r="B267" s="522" t="s">
        <v>991</v>
      </c>
      <c r="C267" s="522">
        <v>2200</v>
      </c>
      <c r="D267" s="522">
        <v>6300</v>
      </c>
      <c r="E267" s="523">
        <f>SUMIFS('Accounting data'!$G$2:$G$37000,'Accounting data'!$H$2:$H$37000,"9999*",'Accounting data'!$J$2:$J$37000,"22*",'Accounting data'!$K$2:$K$37000,"63*")</f>
        <v>0</v>
      </c>
    </row>
    <row r="268" spans="1:5" x14ac:dyDescent="0.2">
      <c r="A268" s="522" t="s">
        <v>992</v>
      </c>
      <c r="B268" s="522" t="s">
        <v>991</v>
      </c>
      <c r="C268" s="522">
        <v>2200</v>
      </c>
      <c r="D268" s="522">
        <v>6400</v>
      </c>
      <c r="E268" s="523">
        <f>SUMIFS('Accounting data'!$G$2:$G$37000,'Accounting data'!$H$2:$H$37000,"9999*",'Accounting data'!$J$2:$J$37000,"22*",'Accounting data'!$K$2:$K$37000,"64*")</f>
        <v>0</v>
      </c>
    </row>
    <row r="269" spans="1:5" x14ac:dyDescent="0.2">
      <c r="A269" s="522" t="s">
        <v>992</v>
      </c>
      <c r="B269" s="522" t="s">
        <v>991</v>
      </c>
      <c r="C269" s="522">
        <v>2200</v>
      </c>
      <c r="D269" s="522">
        <v>6500</v>
      </c>
      <c r="E269" s="523">
        <f>SUMIFS('Accounting data'!$G$2:$G$37000,'Accounting data'!$H$2:$H$37000,"9999*",'Accounting data'!$J$2:$J$37000,"22*",'Accounting data'!$K$2:$K$37000,"65*")</f>
        <v>0</v>
      </c>
    </row>
    <row r="270" spans="1:5" x14ac:dyDescent="0.2">
      <c r="A270" s="522" t="s">
        <v>991</v>
      </c>
      <c r="B270" s="522" t="s">
        <v>993</v>
      </c>
      <c r="C270" s="522">
        <v>2200</v>
      </c>
      <c r="D270" s="531" t="s">
        <v>1023</v>
      </c>
      <c r="E270" s="523">
        <f>SUMIFS('Accounting data'!$G$2:$G$37000,'Accounting data'!$I$2:$I$37000,"7*",'Accounting data'!$J$2:$J$37000,"22*",'Accounting data'!$K$2:$K$37000,"63*")+SUMIFS('Accounting data'!$G$2:$G$37000,'Accounting data'!$I$2:$I$37000,"8*",'Accounting data'!$J$2:$J$37000,"22*",'Accounting data'!$K$2:$K$37000,"63*")+SUMIFS('Accounting data'!$G$2:$G$37000,'Accounting data'!$I$2:$I$37000,"9*",'Accounting data'!$J$2:$J$37000,"22*",'Accounting data'!$K$2:$K$37000,"63*")+SUMIFS('Accounting data'!$G$2:$G$37000,'Accounting data'!$I$2:$I$37000,"7*",'Accounting data'!$J$2:$J$37000,"22*",'Accounting data'!$K$2:$K$37000,"64*")+SUMIFS('Accounting data'!$G$2:$G$37000,'Accounting data'!$I$2:$I$37000,"8*",'Accounting data'!$J$2:$J$37000,"22*",'Accounting data'!$K$2:$K$37000,"64*")+SUMIFS('Accounting data'!$G$2:$G$37000,'Accounting data'!$I$2:$I$37000,"9*",'Accounting data'!$J$2:$J$37000,"22*",'Accounting data'!$K$2:$K$37000,"64*")+SUMIFS('Accounting data'!$G$2:$G$37000,'Accounting data'!$I$2:$I$37000,"7*",'Accounting data'!$J$2:$J$37000,"22*",'Accounting data'!$K$2:$K$37000,"65*")+SUMIFS('Accounting data'!$G$2:$G$37000,'Accounting data'!$I$2:$I$37000,"8*",'Accounting data'!$J$2:$J$37000,"22*",'Accounting data'!$K$2:$K$37000,"65*")+SUMIFS('Accounting data'!$G$2:$G$37000,'Accounting data'!$I$2:$I$37000,"9*",'Accounting data'!$J$2:$J$37000,"22*",'Accounting data'!$K$2:$K$37000,"65*")</f>
        <v>0</v>
      </c>
    </row>
    <row r="271" spans="1:5" x14ac:dyDescent="0.2">
      <c r="A271" s="524" t="s">
        <v>992</v>
      </c>
      <c r="B271" s="522" t="s">
        <v>993</v>
      </c>
      <c r="C271" s="522">
        <v>2200</v>
      </c>
      <c r="D271" s="522">
        <v>6300</v>
      </c>
      <c r="E271" s="523">
        <f>SUMIFS('Accounting data'!$G$2:$G$37000,'Accounting data'!$H$2:$H$37000,"9999*",'Accounting data'!$I$2:$I$37000,"7*",'Accounting data'!$J$2:$J$37000,"22*",'Accounting data'!$K$2:$K$37000,"63*")+SUMIFS('Accounting data'!$G$2:$G$37000,'Accounting data'!$H$2:$H$37000,"9999*",'Accounting data'!$I$2:$I$37000,"8*",'Accounting data'!$J$2:$J$37000,"22*",'Accounting data'!$K$2:$K$37000,"63*")+SUMIFS('Accounting data'!$G$2:$G$37000,'Accounting data'!$H$2:$H$37000,"9999*",'Accounting data'!$I$2:$I$37000,"9*",'Accounting data'!$J$2:$J$37000,"22*",'Accounting data'!$K$2:$K$37000,"63*")</f>
        <v>0</v>
      </c>
    </row>
    <row r="272" spans="1:5" x14ac:dyDescent="0.2">
      <c r="A272" s="524" t="s">
        <v>992</v>
      </c>
      <c r="B272" s="522" t="s">
        <v>993</v>
      </c>
      <c r="C272" s="522">
        <v>2200</v>
      </c>
      <c r="D272" s="522">
        <v>6400</v>
      </c>
      <c r="E272" s="523">
        <f>SUMIFS('Accounting data'!$G$2:$G$37000,'Accounting data'!$H$2:$H$37000,"9999*",'Accounting data'!$I$2:$I$37000,"7*",'Accounting data'!$J$2:$J$37000,"22*",'Accounting data'!$K$2:$K$37000,"64*")+SUMIFS('Accounting data'!$G$2:$G$37000,'Accounting data'!$H$2:$H$37000,"9999*",'Accounting data'!$I$2:$I$37000,"8*",'Accounting data'!$J$2:$J$37000,"22*",'Accounting data'!$K$2:$K$37000,"64*")+SUMIFS('Accounting data'!$G$2:$G$37000,'Accounting data'!$H$2:$H$37000,"9999*",'Accounting data'!$I$2:$I$37000,"9*",'Accounting data'!$J$2:$J$37000,"22*",'Accounting data'!$K$2:$K$37000,"64*")</f>
        <v>0</v>
      </c>
    </row>
    <row r="273" spans="1:5" x14ac:dyDescent="0.2">
      <c r="A273" s="524" t="s">
        <v>992</v>
      </c>
      <c r="B273" s="522" t="s">
        <v>993</v>
      </c>
      <c r="C273" s="522">
        <v>2200</v>
      </c>
      <c r="D273" s="522">
        <v>6500</v>
      </c>
      <c r="E273" s="523">
        <f>SUMIFS('Accounting data'!$G$2:$G$37000,'Accounting data'!$H$2:$H$37000,"9999*",'Accounting data'!$I$2:$I$37000,"7*",'Accounting data'!$J$2:$J$37000,"22*",'Accounting data'!$K$2:$K$37000,"65*")+SUMIFS('Accounting data'!$G$2:$G$37000,'Accounting data'!$H$2:$H$37000,"9999*",'Accounting data'!$I$2:$I$37000,"8*",'Accounting data'!$J$2:$J$37000,"22*",'Accounting data'!$K$2:$K$37000,"65*")+SUMIFS('Accounting data'!$G$2:$G$37000,'Accounting data'!$H$2:$H$37000,"9999*",'Accounting data'!$I$2:$I$37000,"9*",'Accounting data'!$J$2:$J$37000,"22*",'Accounting data'!$K$2:$K$37000,"65*")</f>
        <v>0</v>
      </c>
    </row>
    <row r="292" spans="1:5" x14ac:dyDescent="0.2">
      <c r="A292" s="525" t="s">
        <v>1026</v>
      </c>
      <c r="B292" s="525"/>
      <c r="C292" s="525"/>
      <c r="D292" s="525"/>
      <c r="E292" s="527">
        <f>((E266-E267-E268-E269-E270)+(E271+E272+E273+E274+E275+E276+E277+E278+E279))-((E280-E281-E282)+(E283+E284+E285))-((E286-E287-E288)+(E289+E290+E291))</f>
        <v>83611</v>
      </c>
    </row>
    <row r="293" spans="1:5" x14ac:dyDescent="0.2">
      <c r="A293" s="522" t="s">
        <v>991</v>
      </c>
      <c r="B293" s="522" t="s">
        <v>991</v>
      </c>
      <c r="C293" s="522">
        <v>2300</v>
      </c>
      <c r="D293" s="531" t="s">
        <v>1023</v>
      </c>
      <c r="E293" s="523">
        <f>SUMIFS('Accounting data'!$G$2:$G$37000,'Accounting data'!$J$2:$J$37000,"23*",'Accounting data'!$K$2:$K$37000,"63*")+SUMIFS('Accounting data'!$G$2:$G$37000,'Accounting data'!$J$2:$J$37000,"23*",'Accounting data'!$K$2:$K$37000,"64*")+SUMIFS('Accounting data'!$G$2:$G$37000,'Accounting data'!$J$2:$J$37000,"23*",'Accounting data'!$K$2:$K$37000,"65*")</f>
        <v>56970</v>
      </c>
    </row>
    <row r="294" spans="1:5" x14ac:dyDescent="0.2">
      <c r="A294" s="522" t="s">
        <v>992</v>
      </c>
      <c r="B294" s="522" t="s">
        <v>991</v>
      </c>
      <c r="C294" s="522">
        <v>2300</v>
      </c>
      <c r="D294" s="522">
        <v>6300</v>
      </c>
      <c r="E294" s="523">
        <f>SUMIFS('Accounting data'!$G$2:$G$37000,'Accounting data'!$H$2:$H$37000,"9999*",'Accounting data'!$J$2:$J$37000,"23*",'Accounting data'!$K$2:$K$37000,"63*")</f>
        <v>0</v>
      </c>
    </row>
    <row r="295" spans="1:5" x14ac:dyDescent="0.2">
      <c r="A295" s="522" t="s">
        <v>992</v>
      </c>
      <c r="B295" s="522" t="s">
        <v>991</v>
      </c>
      <c r="C295" s="522">
        <v>2300</v>
      </c>
      <c r="D295" s="522">
        <v>6400</v>
      </c>
      <c r="E295" s="523">
        <f>SUMIFS('Accounting data'!$G$2:$G$37000,'Accounting data'!$H$2:$H$37000,"9999*",'Accounting data'!$J$2:$J$37000,"23*",'Accounting data'!$K$2:$K$37000,"64*")</f>
        <v>0</v>
      </c>
    </row>
    <row r="296" spans="1:5" x14ac:dyDescent="0.2">
      <c r="A296" s="522" t="s">
        <v>992</v>
      </c>
      <c r="B296" s="522" t="s">
        <v>991</v>
      </c>
      <c r="C296" s="522">
        <v>2300</v>
      </c>
      <c r="D296" s="522">
        <v>6500</v>
      </c>
      <c r="E296" s="523">
        <f>SUMIFS('Accounting data'!$G$2:$G$37000,'Accounting data'!$H$2:$H$37000,"9999*",'Accounting data'!$J$2:$J$37000,"23*",'Accounting data'!$K$2:$K$37000,"65*")</f>
        <v>0</v>
      </c>
    </row>
    <row r="297" spans="1:5" x14ac:dyDescent="0.2">
      <c r="A297" s="522" t="s">
        <v>991</v>
      </c>
      <c r="B297" s="522" t="s">
        <v>993</v>
      </c>
      <c r="C297" s="522">
        <v>2300</v>
      </c>
      <c r="D297" s="531" t="s">
        <v>1023</v>
      </c>
      <c r="E297" s="523">
        <f>SUMIFS('Accounting data'!$G$2:$G$37000,'Accounting data'!$I$2:$I$37000,"7*",'Accounting data'!$J$2:$J$37000,"23*",'Accounting data'!$K$2:$K$37000,"63*")+SUMIFS('Accounting data'!$G$2:$G$37000,'Accounting data'!$I$2:$I$37000,"8*",'Accounting data'!$J$2:$J$37000,"23*",'Accounting data'!$K$2:$K$37000,"63*")+SUMIFS('Accounting data'!$G$2:$G$37000,'Accounting data'!$I$2:$I$37000,"9*",'Accounting data'!$J$2:$J$37000,"23*",'Accounting data'!$K$2:$K$37000,"63*")+SUMIFS('Accounting data'!$G$2:$G$37000,'Accounting data'!$I$2:$I$37000,"7*",'Accounting data'!$J$2:$J$37000,"23*",'Accounting data'!$K$2:$K$37000,"64*")+SUMIFS('Accounting data'!$G$2:$G$37000,'Accounting data'!$I$2:$I$37000,"8*",'Accounting data'!$J$2:$J$37000,"23*",'Accounting data'!$K$2:$K$37000,"64*")+SUMIFS('Accounting data'!$G$2:$G$37000,'Accounting data'!$I$2:$I$37000,"9*",'Accounting data'!$J$2:$J$37000,"23*",'Accounting data'!$K$2:$K$37000,"64*")+SUMIFS('Accounting data'!$G$2:$G$37000,'Accounting data'!$I$2:$I$37000,"7*",'Accounting data'!$J$2:$J$37000,"23*",'Accounting data'!$K$2:$K$37000,"65*")+SUMIFS('Accounting data'!$G$2:$G$37000,'Accounting data'!$I$2:$I$37000,"8*",'Accounting data'!$J$2:$J$37000,"23*",'Accounting data'!$K$2:$K$37000,"65*")+SUMIFS('Accounting data'!$G$2:$G$37000,'Accounting data'!$I$2:$I$37000,"9*",'Accounting data'!$J$2:$J$37000,"23*",'Accounting data'!$K$2:$K$37000,"65*")</f>
        <v>0</v>
      </c>
    </row>
    <row r="298" spans="1:5" x14ac:dyDescent="0.2">
      <c r="A298" s="524" t="s">
        <v>992</v>
      </c>
      <c r="B298" s="522" t="s">
        <v>993</v>
      </c>
      <c r="C298" s="522">
        <v>2300</v>
      </c>
      <c r="D298" s="522">
        <v>6300</v>
      </c>
      <c r="E298" s="523">
        <f>SUMIFS('Accounting data'!$G$2:$G$37000,'Accounting data'!$H$2:$H$37000,"9999*",'Accounting data'!$I$2:$I$37000,"7*",'Accounting data'!$J$2:$J$37000,"23*",'Accounting data'!$K$2:$K$37000,"63*")+SUMIFS('Accounting data'!$G$2:$G$37000,'Accounting data'!$H$2:$H$37000,"9999*",'Accounting data'!$I$2:$I$37000,"8*",'Accounting data'!$J$2:$J$37000,"23*",'Accounting data'!$K$2:$K$37000,"63*")+SUMIFS('Accounting data'!$G$2:$G$37000,'Accounting data'!$H$2:$H$37000,"9999*",'Accounting data'!$I$2:$I$37000,"9*",'Accounting data'!$J$2:$J$37000,"23*",'Accounting data'!$K$2:$K$37000,"63*")</f>
        <v>0</v>
      </c>
    </row>
    <row r="299" spans="1:5" x14ac:dyDescent="0.2">
      <c r="A299" s="524" t="s">
        <v>992</v>
      </c>
      <c r="B299" s="522" t="s">
        <v>993</v>
      </c>
      <c r="C299" s="522">
        <v>2300</v>
      </c>
      <c r="D299" s="522">
        <v>6400</v>
      </c>
      <c r="E299" s="523">
        <f>SUMIFS('Accounting data'!$G$2:$G$37000,'Accounting data'!$H$2:$H$37000,"9999*",'Accounting data'!$I$2:$I$37000,"7*",'Accounting data'!$J$2:$J$37000,"23*",'Accounting data'!$K$2:$K$37000,"64*")+SUMIFS('Accounting data'!$G$2:$G$37000,'Accounting data'!$H$2:$H$37000,"9999*",'Accounting data'!$I$2:$I$37000,"8*",'Accounting data'!$J$2:$J$37000,"23*",'Accounting data'!$K$2:$K$37000,"64*")+SUMIFS('Accounting data'!$G$2:$G$37000,'Accounting data'!$H$2:$H$37000,"9999*",'Accounting data'!$I$2:$I$37000,"9*",'Accounting data'!$J$2:$J$37000,"23*",'Accounting data'!$K$2:$K$37000,"64*")</f>
        <v>0</v>
      </c>
    </row>
    <row r="300" spans="1:5" x14ac:dyDescent="0.2">
      <c r="A300" s="524" t="s">
        <v>992</v>
      </c>
      <c r="B300" s="522" t="s">
        <v>993</v>
      </c>
      <c r="C300" s="522">
        <v>2300</v>
      </c>
      <c r="D300" s="522">
        <v>6500</v>
      </c>
      <c r="E300" s="523">
        <f>SUMIFS('Accounting data'!$G$2:$G$37000,'Accounting data'!$H$2:$H$37000,"9999*",'Accounting data'!$I$2:$I$37000,"7*",'Accounting data'!$J$2:$J$37000,"23*",'Accounting data'!$K$2:$K$37000,"65*")+SUMIFS('Accounting data'!$G$2:$G$37000,'Accounting data'!$H$2:$H$37000,"9999*",'Accounting data'!$I$2:$I$37000,"8*",'Accounting data'!$J$2:$J$37000,"23*",'Accounting data'!$K$2:$K$37000,"65*")+SUMIFS('Accounting data'!$G$2:$G$37000,'Accounting data'!$H$2:$H$37000,"9999*",'Accounting data'!$I$2:$I$37000,"9*",'Accounting data'!$J$2:$J$37000,"23*",'Accounting data'!$K$2:$K$37000,"65*")</f>
        <v>0</v>
      </c>
    </row>
    <row r="319" spans="1:5" x14ac:dyDescent="0.2">
      <c r="A319" s="525" t="s">
        <v>1027</v>
      </c>
      <c r="B319" s="525"/>
      <c r="C319" s="525"/>
      <c r="D319" s="525"/>
      <c r="E319" s="527">
        <f>((E293-E294-E295-E296-E297)+(E298+E299+E300+E301+E302+E303+E304+E305+E306))-((E307-E308-E309)+(E310+E311+E312))-((E313-E314-E315)+(E316+E317+E318))</f>
        <v>56970</v>
      </c>
    </row>
    <row r="320" spans="1:5" x14ac:dyDescent="0.2">
      <c r="A320" s="522" t="s">
        <v>991</v>
      </c>
      <c r="B320" s="522" t="s">
        <v>991</v>
      </c>
      <c r="C320" s="522">
        <v>2400</v>
      </c>
      <c r="D320" s="531" t="s">
        <v>1023</v>
      </c>
      <c r="E320" s="523">
        <f>SUMIFS('Accounting data'!$G$2:$G$37000,'Accounting data'!$J$2:$J$37000,"24*",'Accounting data'!$K$2:$K$37000,"63*")+SUMIFS('Accounting data'!$G$2:$G$37000,'Accounting data'!$J$2:$J$37000,"24*",'Accounting data'!$K$2:$K$37000,"64*")+SUMIFS('Accounting data'!$G$2:$G$37000,'Accounting data'!$J$2:$J$37000,"24*",'Accounting data'!$K$2:$K$37000,"65*")</f>
        <v>83034</v>
      </c>
    </row>
    <row r="321" spans="1:5" x14ac:dyDescent="0.2">
      <c r="A321" s="522" t="s">
        <v>992</v>
      </c>
      <c r="B321" s="522" t="s">
        <v>991</v>
      </c>
      <c r="C321" s="522">
        <v>2400</v>
      </c>
      <c r="D321" s="522">
        <v>6300</v>
      </c>
      <c r="E321" s="523">
        <f>SUMIFS('Accounting data'!$G$2:$G$37000,'Accounting data'!$H$2:$H$37000,"9999*",'Accounting data'!$J$2:$J$37000,"24*",'Accounting data'!$K$2:$K$37000,"63*")</f>
        <v>0</v>
      </c>
    </row>
    <row r="322" spans="1:5" x14ac:dyDescent="0.2">
      <c r="A322" s="522" t="s">
        <v>992</v>
      </c>
      <c r="B322" s="522" t="s">
        <v>991</v>
      </c>
      <c r="C322" s="522">
        <v>2400</v>
      </c>
      <c r="D322" s="522">
        <v>6400</v>
      </c>
      <c r="E322" s="523">
        <f>SUMIFS('Accounting data'!$G$2:$G$37000,'Accounting data'!$H$2:$H$37000,"9999*",'Accounting data'!$J$2:$J$37000,"24*",'Accounting data'!$K$2:$K$37000,"64*")</f>
        <v>0</v>
      </c>
    </row>
    <row r="323" spans="1:5" x14ac:dyDescent="0.2">
      <c r="A323" s="522" t="s">
        <v>992</v>
      </c>
      <c r="B323" s="522" t="s">
        <v>991</v>
      </c>
      <c r="C323" s="522">
        <v>2400</v>
      </c>
      <c r="D323" s="522">
        <v>6500</v>
      </c>
      <c r="E323" s="523">
        <f>SUMIFS('Accounting data'!$G$2:$G$37000,'Accounting data'!$H$2:$H$37000,"9999*",'Accounting data'!$J$2:$J$37000,"24*",'Accounting data'!$K$2:$K$37000,"65*")</f>
        <v>0</v>
      </c>
    </row>
    <row r="324" spans="1:5" x14ac:dyDescent="0.2">
      <c r="A324" s="522" t="s">
        <v>991</v>
      </c>
      <c r="B324" s="522" t="s">
        <v>993</v>
      </c>
      <c r="C324" s="522">
        <v>2400</v>
      </c>
      <c r="D324" s="531" t="s">
        <v>1023</v>
      </c>
      <c r="E324" s="523">
        <f>SUMIFS('Accounting data'!$G$2:$G$37000,'Accounting data'!$I$2:$I$37000,"7*",'Accounting data'!$J$2:$J$37000,"24*",'Accounting data'!$K$2:$K$37000,"63*")+SUMIFS('Accounting data'!$G$2:$G$37000,'Accounting data'!$I$2:$I$37000,"8*",'Accounting data'!$J$2:$J$37000,"24*",'Accounting data'!$K$2:$K$37000,"63*")+SUMIFS('Accounting data'!$G$2:$G$37000,'Accounting data'!$I$2:$I$37000,"9*",'Accounting data'!$J$2:$J$37000,"24*",'Accounting data'!$K$2:$K$37000,"63*")+SUMIFS('Accounting data'!$G$2:$G$37000,'Accounting data'!$I$2:$I$37000,"7*",'Accounting data'!$J$2:$J$37000,"24*",'Accounting data'!$K$2:$K$37000,"64*")+SUMIFS('Accounting data'!$G$2:$G$37000,'Accounting data'!$I$2:$I$37000,"8*",'Accounting data'!$J$2:$J$37000,"24*",'Accounting data'!$K$2:$K$37000,"64*")+SUMIFS('Accounting data'!$G$2:$G$37000,'Accounting data'!$I$2:$I$37000,"9*",'Accounting data'!$J$2:$J$37000,"24*",'Accounting data'!$K$2:$K$37000,"64*")+SUMIFS('Accounting data'!$G$2:$G$37000,'Accounting data'!$I$2:$I$37000,"7*",'Accounting data'!$J$2:$J$37000,"24*",'Accounting data'!$K$2:$K$37000,"65*")+SUMIFS('Accounting data'!$G$2:$G$37000,'Accounting data'!$I$2:$I$37000,"8*",'Accounting data'!$J$2:$J$37000,"24*",'Accounting data'!$K$2:$K$37000,"65*")+SUMIFS('Accounting data'!$G$2:$G$37000,'Accounting data'!$I$2:$I$37000,"9*",'Accounting data'!$J$2:$J$37000,"24*",'Accounting data'!$K$2:$K$37000,"65*")</f>
        <v>0</v>
      </c>
    </row>
    <row r="325" spans="1:5" x14ac:dyDescent="0.2">
      <c r="A325" s="524" t="s">
        <v>992</v>
      </c>
      <c r="B325" s="522" t="s">
        <v>993</v>
      </c>
      <c r="C325" s="522">
        <v>2400</v>
      </c>
      <c r="D325" s="522">
        <v>6300</v>
      </c>
      <c r="E325" s="523">
        <f>SUMIFS('Accounting data'!$G$2:$G$37000,'Accounting data'!$H$2:$H$37000,"9999*",'Accounting data'!$I$2:$I$37000,"7*",'Accounting data'!$J$2:$J$37000,"24*",'Accounting data'!$K$2:$K$37000,"63*")+SUMIFS('Accounting data'!$G$2:$G$37000,'Accounting data'!$H$2:$H$37000,"9999*",'Accounting data'!$I$2:$I$37000,"8*",'Accounting data'!$J$2:$J$37000,"24*",'Accounting data'!$K$2:$K$37000,"63*")+SUMIFS('Accounting data'!$G$2:$G$37000,'Accounting data'!$H$2:$H$37000,"9999*",'Accounting data'!$I$2:$I$37000,"9*",'Accounting data'!$J$2:$J$37000,"24*",'Accounting data'!$K$2:$K$37000,"63*")</f>
        <v>0</v>
      </c>
    </row>
    <row r="326" spans="1:5" x14ac:dyDescent="0.2">
      <c r="A326" s="524" t="s">
        <v>992</v>
      </c>
      <c r="B326" s="522" t="s">
        <v>993</v>
      </c>
      <c r="C326" s="522">
        <v>2400</v>
      </c>
      <c r="D326" s="522">
        <v>6400</v>
      </c>
      <c r="E326" s="523">
        <f>SUMIFS('Accounting data'!$G$2:$G$37000,'Accounting data'!$H$2:$H$37000,"9999*",'Accounting data'!$I$2:$I$37000,"7*",'Accounting data'!$J$2:$J$37000,"24*",'Accounting data'!$K$2:$K$37000,"64*")+SUMIFS('Accounting data'!$G$2:$G$37000,'Accounting data'!$H$2:$H$37000,"9999*",'Accounting data'!$I$2:$I$37000,"8*",'Accounting data'!$J$2:$J$37000,"24*",'Accounting data'!$K$2:$K$37000,"64*")+SUMIFS('Accounting data'!$G$2:$G$37000,'Accounting data'!$H$2:$H$37000,"9999*",'Accounting data'!$I$2:$I$37000,"9*",'Accounting data'!$J$2:$J$37000,"24*",'Accounting data'!$K$2:$K$37000,"64*")</f>
        <v>0</v>
      </c>
    </row>
    <row r="327" spans="1:5" x14ac:dyDescent="0.2">
      <c r="A327" s="524" t="s">
        <v>992</v>
      </c>
      <c r="B327" s="522" t="s">
        <v>993</v>
      </c>
      <c r="C327" s="522">
        <v>2400</v>
      </c>
      <c r="D327" s="522">
        <v>6500</v>
      </c>
      <c r="E327" s="523">
        <f>SUMIFS('Accounting data'!$G$2:$G$37000,'Accounting data'!$H$2:$H$37000,"9999*",'Accounting data'!$I$2:$I$37000,"7*",'Accounting data'!$J$2:$J$37000,"24*",'Accounting data'!$K$2:$K$37000,"65*")+SUMIFS('Accounting data'!$G$2:$G$37000,'Accounting data'!$H$2:$H$37000,"9999*",'Accounting data'!$I$2:$I$37000,"8*",'Accounting data'!$J$2:$J$37000,"24*",'Accounting data'!$K$2:$K$37000,"65*")+SUMIFS('Accounting data'!$G$2:$G$37000,'Accounting data'!$H$2:$H$37000,"9999*",'Accounting data'!$I$2:$I$37000,"9*",'Accounting data'!$J$2:$J$37000,"24*",'Accounting data'!$K$2:$K$37000,"65*")</f>
        <v>0</v>
      </c>
    </row>
    <row r="346" spans="1:5" x14ac:dyDescent="0.2">
      <c r="A346" s="525" t="s">
        <v>1028</v>
      </c>
      <c r="B346" s="525"/>
      <c r="C346" s="525"/>
      <c r="D346" s="525"/>
      <c r="E346" s="527">
        <f>((E320-E321-E322-E323-E324)+(E325+E326+E327+E328+E329+E330+E331+E332+E333))-((E334-E335-E336)+(E337+E338+E339))-((E340-E341-E342)+(E343+E344+E345))</f>
        <v>83034</v>
      </c>
    </row>
    <row r="347" spans="1:5" x14ac:dyDescent="0.2">
      <c r="A347" s="522" t="s">
        <v>991</v>
      </c>
      <c r="B347" s="522" t="s">
        <v>991</v>
      </c>
      <c r="C347" s="522">
        <v>2500</v>
      </c>
      <c r="D347" s="531" t="s">
        <v>1023</v>
      </c>
      <c r="E347" s="523">
        <f>SUMIFS('Accounting data'!$G$2:$G$37000,'Accounting data'!$J$2:$J$37000,"25*",'Accounting data'!$K$2:$K$37000,"63*")+SUMIFS('Accounting data'!$G$2:$G$37000,'Accounting data'!$J$2:$J$37000,"25*",'Accounting data'!$K$2:$K$37000,"64*")+SUMIFS('Accounting data'!$G$2:$G$37000,'Accounting data'!$J$2:$J$37000,"25*",'Accounting data'!$K$2:$K$37000,"65*")</f>
        <v>254593</v>
      </c>
    </row>
    <row r="348" spans="1:5" x14ac:dyDescent="0.2">
      <c r="A348" s="522" t="s">
        <v>992</v>
      </c>
      <c r="B348" s="522" t="s">
        <v>991</v>
      </c>
      <c r="C348" s="522">
        <v>2500</v>
      </c>
      <c r="D348" s="522">
        <v>6300</v>
      </c>
      <c r="E348" s="523">
        <f>SUMIFS('Accounting data'!$G$2:$G$37000,'Accounting data'!$H$2:$H$37000,"9999*",'Accounting data'!$J$2:$J$37000,"25*",'Accounting data'!$K$2:$K$37000,"63*")</f>
        <v>0</v>
      </c>
    </row>
    <row r="349" spans="1:5" x14ac:dyDescent="0.2">
      <c r="A349" s="522" t="s">
        <v>992</v>
      </c>
      <c r="B349" s="522" t="s">
        <v>991</v>
      </c>
      <c r="C349" s="522">
        <v>2500</v>
      </c>
      <c r="D349" s="522">
        <v>6400</v>
      </c>
      <c r="E349" s="523">
        <f>SUMIFS('Accounting data'!$G$2:$G$37000,'Accounting data'!$H$2:$H$37000,"9999*",'Accounting data'!$J$2:$J$37000,"25*",'Accounting data'!$K$2:$K$37000,"64*")</f>
        <v>0</v>
      </c>
    </row>
    <row r="350" spans="1:5" x14ac:dyDescent="0.2">
      <c r="A350" s="522" t="s">
        <v>992</v>
      </c>
      <c r="B350" s="522" t="s">
        <v>991</v>
      </c>
      <c r="C350" s="522">
        <v>2500</v>
      </c>
      <c r="D350" s="522">
        <v>6500</v>
      </c>
      <c r="E350" s="523">
        <f>SUMIFS('Accounting data'!$G$2:$G$37000,'Accounting data'!$H$2:$H$37000,"9999*",'Accounting data'!$J$2:$J$37000,"25*",'Accounting data'!$K$2:$K$37000,"65*")</f>
        <v>0</v>
      </c>
    </row>
    <row r="351" spans="1:5" x14ac:dyDescent="0.2">
      <c r="A351" s="522" t="s">
        <v>991</v>
      </c>
      <c r="B351" s="522" t="s">
        <v>993</v>
      </c>
      <c r="C351" s="522">
        <v>2500</v>
      </c>
      <c r="D351" s="531" t="s">
        <v>1023</v>
      </c>
      <c r="E351" s="523">
        <f>SUMIFS('Accounting data'!$G$2:$G$37000,'Accounting data'!$I$2:$I$37000,"7*",'Accounting data'!$J$2:$J$37000,"25*",'Accounting data'!$K$2:$K$37000,"63*")+SUMIFS('Accounting data'!$G$2:$G$37000,'Accounting data'!$I$2:$I$37000,"8*",'Accounting data'!$J$2:$J$37000,"25*",'Accounting data'!$K$2:$K$37000,"63*")+SUMIFS('Accounting data'!$G$2:$G$37000,'Accounting data'!$I$2:$I$37000,"9*",'Accounting data'!$J$2:$J$37000,"25*",'Accounting data'!$K$2:$K$37000,"63*")+SUMIFS('Accounting data'!$G$2:$G$37000,'Accounting data'!$I$2:$I$37000,"7*",'Accounting data'!$J$2:$J$37000,"25*",'Accounting data'!$K$2:$K$37000,"64*")+SUMIFS('Accounting data'!$G$2:$G$37000,'Accounting data'!$I$2:$I$37000,"8*",'Accounting data'!$J$2:$J$37000,"25*",'Accounting data'!$K$2:$K$37000,"64*")+SUMIFS('Accounting data'!$G$2:$G$37000,'Accounting data'!$I$2:$I$37000,"9*",'Accounting data'!$J$2:$J$37000,"25*",'Accounting data'!$K$2:$K$37000,"64*")+SUMIFS('Accounting data'!$G$2:$G$37000,'Accounting data'!$I$2:$I$37000,"7*",'Accounting data'!$J$2:$J$37000,"25*",'Accounting data'!$K$2:$K$37000,"65*")+SUMIFS('Accounting data'!$G$2:$G$37000,'Accounting data'!$I$2:$I$37000,"8*",'Accounting data'!$J$2:$J$37000,"25*",'Accounting data'!$K$2:$K$37000,"65*")+SUMIFS('Accounting data'!$G$2:$G$37000,'Accounting data'!$I$2:$I$37000,"9*",'Accounting data'!$J$2:$J$37000,"25*",'Accounting data'!$K$2:$K$37000,"65*")</f>
        <v>0</v>
      </c>
    </row>
    <row r="352" spans="1:5" x14ac:dyDescent="0.2">
      <c r="A352" s="524" t="s">
        <v>992</v>
      </c>
      <c r="B352" s="522" t="s">
        <v>993</v>
      </c>
      <c r="C352" s="522">
        <v>2500</v>
      </c>
      <c r="D352" s="522">
        <v>6300</v>
      </c>
      <c r="E352" s="523">
        <f>SUMIFS('Accounting data'!$G$2:$G$37000,'Accounting data'!$H$2:$H$37000,"9999*",'Accounting data'!$I$2:$I$37000,"7*",'Accounting data'!$J$2:$J$37000,"25*",'Accounting data'!$K$2:$K$37000,"63*")+SUMIFS('Accounting data'!$G$2:$G$37000,'Accounting data'!$H$2:$H$37000,"9999*",'Accounting data'!$I$2:$I$37000,"8*",'Accounting data'!$J$2:$J$37000,"25*",'Accounting data'!$K$2:$K$37000,"63*")+SUMIFS('Accounting data'!$G$2:$G$37000,'Accounting data'!$H$2:$H$37000,"9999*",'Accounting data'!$I$2:$I$37000,"9*",'Accounting data'!$J$2:$J$37000,"25*",'Accounting data'!$K$2:$K$37000,"63*")</f>
        <v>0</v>
      </c>
    </row>
    <row r="353" spans="1:5" x14ac:dyDescent="0.2">
      <c r="A353" s="524" t="s">
        <v>992</v>
      </c>
      <c r="B353" s="522" t="s">
        <v>993</v>
      </c>
      <c r="C353" s="522">
        <v>2500</v>
      </c>
      <c r="D353" s="522">
        <v>6400</v>
      </c>
      <c r="E353" s="523">
        <f>SUMIFS('Accounting data'!$G$2:$G$37000,'Accounting data'!$H$2:$H$37000,"9999*",'Accounting data'!$I$2:$I$37000,"7*",'Accounting data'!$J$2:$J$37000,"25*",'Accounting data'!$K$2:$K$37000,"64*")+SUMIFS('Accounting data'!$G$2:$G$37000,'Accounting data'!$H$2:$H$37000,"9999*",'Accounting data'!$I$2:$I$37000,"8*",'Accounting data'!$J$2:$J$37000,"25*",'Accounting data'!$K$2:$K$37000,"64*")+SUMIFS('Accounting data'!$G$2:$G$37000,'Accounting data'!$H$2:$H$37000,"9999*",'Accounting data'!$I$2:$I$37000,"9*",'Accounting data'!$J$2:$J$37000,"25*",'Accounting data'!$K$2:$K$37000,"64*")</f>
        <v>0</v>
      </c>
    </row>
    <row r="354" spans="1:5" x14ac:dyDescent="0.2">
      <c r="A354" s="524" t="s">
        <v>992</v>
      </c>
      <c r="B354" s="522" t="s">
        <v>993</v>
      </c>
      <c r="C354" s="522">
        <v>2500</v>
      </c>
      <c r="D354" s="522">
        <v>6500</v>
      </c>
      <c r="E354" s="523">
        <f>SUMIFS('Accounting data'!$G$2:$G$37000,'Accounting data'!$H$2:$H$37000,"9999*",'Accounting data'!$I$2:$I$37000,"7*",'Accounting data'!$J$2:$J$37000,"25*",'Accounting data'!$K$2:$K$37000,"65*")+SUMIFS('Accounting data'!$G$2:$G$37000,'Accounting data'!$H$2:$H$37000,"9999*",'Accounting data'!$I$2:$I$37000,"8*",'Accounting data'!$J$2:$J$37000,"25*",'Accounting data'!$K$2:$K$37000,"65*")+SUMIFS('Accounting data'!$G$2:$G$37000,'Accounting data'!$H$2:$H$37000,"9999*",'Accounting data'!$I$2:$I$37000,"9*",'Accounting data'!$J$2:$J$37000,"25*",'Accounting data'!$K$2:$K$37000,"65*")</f>
        <v>0</v>
      </c>
    </row>
    <row r="373" spans="1:5" x14ac:dyDescent="0.2">
      <c r="A373" s="525" t="s">
        <v>1029</v>
      </c>
      <c r="B373" s="525"/>
      <c r="C373" s="525"/>
      <c r="D373" s="525"/>
      <c r="E373" s="527">
        <f>((E347-E348-E349-E350-E351)+(E352+E353+E354+E355+E356+E357+E358+E359+E360))-((E361-E362-E363)+(E364+E365+E366))-((E367-E368-E369)+(E370+E371+E372))</f>
        <v>254593</v>
      </c>
    </row>
    <row r="374" spans="1:5" x14ac:dyDescent="0.2">
      <c r="A374" s="522" t="s">
        <v>991</v>
      </c>
      <c r="B374" s="522" t="s">
        <v>991</v>
      </c>
      <c r="C374" s="522">
        <v>2900</v>
      </c>
      <c r="D374" s="531" t="s">
        <v>1023</v>
      </c>
      <c r="E374" s="523">
        <f>SUMIFS('Accounting data'!$G$2:$G$37000,'Accounting data'!$J$2:$J$37000,"29*",'Accounting data'!$K$2:$K$37000,"63*")+SUMIFS('Accounting data'!$G$2:$G$37000,'Accounting data'!$J$2:$J$37000,"29*",'Accounting data'!$K$2:$K$37000,"64*")+SUMIFS('Accounting data'!$G$2:$G$37000,'Accounting data'!$J$2:$J$37000,"29*",'Accounting data'!$K$2:$K$37000,"65*")</f>
        <v>0</v>
      </c>
    </row>
    <row r="375" spans="1:5" x14ac:dyDescent="0.2">
      <c r="A375" s="522" t="s">
        <v>992</v>
      </c>
      <c r="B375" s="522" t="s">
        <v>991</v>
      </c>
      <c r="C375" s="522">
        <v>2900</v>
      </c>
      <c r="D375" s="522">
        <v>6300</v>
      </c>
      <c r="E375" s="523">
        <f>SUMIFS('Accounting data'!$G$2:$G$37000,'Accounting data'!$H$2:$H$37000,"9999*",'Accounting data'!$J$2:$J$37000,"29*",'Accounting data'!$K$2:$K$37000,"63*")</f>
        <v>0</v>
      </c>
    </row>
    <row r="376" spans="1:5" x14ac:dyDescent="0.2">
      <c r="A376" s="522" t="s">
        <v>992</v>
      </c>
      <c r="B376" s="522" t="s">
        <v>991</v>
      </c>
      <c r="C376" s="522">
        <v>2900</v>
      </c>
      <c r="D376" s="522">
        <v>6400</v>
      </c>
      <c r="E376" s="523">
        <f>SUMIFS('Accounting data'!$G$2:$G$37000,'Accounting data'!$H$2:$H$37000,"9999*",'Accounting data'!$J$2:$J$37000,"29*",'Accounting data'!$K$2:$K$37000,"64*")</f>
        <v>0</v>
      </c>
    </row>
    <row r="377" spans="1:5" x14ac:dyDescent="0.2">
      <c r="A377" s="522" t="s">
        <v>992</v>
      </c>
      <c r="B377" s="522" t="s">
        <v>991</v>
      </c>
      <c r="C377" s="522">
        <v>2900</v>
      </c>
      <c r="D377" s="522">
        <v>6500</v>
      </c>
      <c r="E377" s="523">
        <f>SUMIFS('Accounting data'!$G$2:$G$37000,'Accounting data'!$H$2:$H$37000,"9999*",'Accounting data'!$J$2:$J$37000,"29*",'Accounting data'!$K$2:$K$37000,"65*")</f>
        <v>0</v>
      </c>
    </row>
    <row r="378" spans="1:5" x14ac:dyDescent="0.2">
      <c r="A378" s="522" t="s">
        <v>991</v>
      </c>
      <c r="B378" s="522" t="s">
        <v>993</v>
      </c>
      <c r="C378" s="522">
        <v>2900</v>
      </c>
      <c r="D378" s="531" t="s">
        <v>1023</v>
      </c>
      <c r="E378" s="523">
        <f>SUMIFS('Accounting data'!$G$2:$G$37000,'Accounting data'!$I$2:$I$37000,"7*",'Accounting data'!$J$2:$J$37000,"29*",'Accounting data'!$K$2:$K$37000,"63*")+SUMIFS('Accounting data'!$G$2:$G$37000,'Accounting data'!$I$2:$I$37000,"8*",'Accounting data'!$J$2:$J$37000,"29*",'Accounting data'!$K$2:$K$37000,"63*")+SUMIFS('Accounting data'!$G$2:$G$37000,'Accounting data'!$I$2:$I$37000,"9*",'Accounting data'!$J$2:$J$37000,"29*",'Accounting data'!$K$2:$K$37000,"63*")+SUMIFS('Accounting data'!$G$2:$G$37000,'Accounting data'!$I$2:$I$37000,"7*",'Accounting data'!$J$2:$J$37000,"29*",'Accounting data'!$K$2:$K$37000,"64*")+SUMIFS('Accounting data'!$G$2:$G$37000,'Accounting data'!$I$2:$I$37000,"8*",'Accounting data'!$J$2:$J$37000,"29*",'Accounting data'!$K$2:$K$37000,"64*")+SUMIFS('Accounting data'!$G$2:$G$37000,'Accounting data'!$I$2:$I$37000,"9*",'Accounting data'!$J$2:$J$37000,"29*",'Accounting data'!$K$2:$K$37000,"64*")+SUMIFS('Accounting data'!$G$2:$G$37000,'Accounting data'!$I$2:$I$37000,"7*",'Accounting data'!$J$2:$J$37000,"29*",'Accounting data'!$K$2:$K$37000,"65*")+SUMIFS('Accounting data'!$G$2:$G$37000,'Accounting data'!$I$2:$I$37000,"8*",'Accounting data'!$J$2:$J$37000,"29*",'Accounting data'!$K$2:$K$37000,"65*")+SUMIFS('Accounting data'!$G$2:$G$37000,'Accounting data'!$I$2:$I$37000,"9*",'Accounting data'!$J$2:$J$37000,"29*",'Accounting data'!$K$2:$K$37000,"65*")</f>
        <v>0</v>
      </c>
    </row>
    <row r="379" spans="1:5" x14ac:dyDescent="0.2">
      <c r="A379" s="524" t="s">
        <v>992</v>
      </c>
      <c r="B379" s="522" t="s">
        <v>993</v>
      </c>
      <c r="C379" s="522">
        <v>2900</v>
      </c>
      <c r="D379" s="522">
        <v>6300</v>
      </c>
      <c r="E379" s="523">
        <f>SUMIFS('Accounting data'!$G$2:$G$37000,'Accounting data'!$H$2:$H$37000,"9999*",'Accounting data'!$I$2:$I$37000,"7*",'Accounting data'!$J$2:$J$37000,"29*",'Accounting data'!$K$2:$K$37000,"63*")+SUMIFS('Accounting data'!$G$2:$G$37000,'Accounting data'!$H$2:$H$37000,"9999*",'Accounting data'!$I$2:$I$37000,"8*",'Accounting data'!$J$2:$J$37000,"29*",'Accounting data'!$K$2:$K$37000,"63*")+SUMIFS('Accounting data'!$G$2:$G$37000,'Accounting data'!$H$2:$H$37000,"9999*",'Accounting data'!$I$2:$I$37000,"9*",'Accounting data'!$J$2:$J$37000,"29*",'Accounting data'!$K$2:$K$37000,"63*")</f>
        <v>0</v>
      </c>
    </row>
    <row r="380" spans="1:5" x14ac:dyDescent="0.2">
      <c r="A380" s="524" t="s">
        <v>992</v>
      </c>
      <c r="B380" s="522" t="s">
        <v>993</v>
      </c>
      <c r="C380" s="522">
        <v>2900</v>
      </c>
      <c r="D380" s="522">
        <v>6400</v>
      </c>
      <c r="E380" s="523">
        <f>SUMIFS('Accounting data'!$G$2:$G$37000,'Accounting data'!$H$2:$H$37000,"9999*",'Accounting data'!$I$2:$I$37000,"7*",'Accounting data'!$J$2:$J$37000,"29*",'Accounting data'!$K$2:$K$37000,"64*")+SUMIFS('Accounting data'!$G$2:$G$37000,'Accounting data'!$H$2:$H$37000,"9999*",'Accounting data'!$I$2:$I$37000,"8*",'Accounting data'!$J$2:$J$37000,"29*",'Accounting data'!$K$2:$K$37000,"64*")+SUMIFS('Accounting data'!$G$2:$G$37000,'Accounting data'!$H$2:$H$37000,"9999*",'Accounting data'!$I$2:$I$37000,"9*",'Accounting data'!$J$2:$J$37000,"29*",'Accounting data'!$K$2:$K$37000,"64*")</f>
        <v>0</v>
      </c>
    </row>
    <row r="381" spans="1:5" x14ac:dyDescent="0.2">
      <c r="A381" s="524" t="s">
        <v>992</v>
      </c>
      <c r="B381" s="522" t="s">
        <v>993</v>
      </c>
      <c r="C381" s="522">
        <v>2900</v>
      </c>
      <c r="D381" s="522">
        <v>6500</v>
      </c>
      <c r="E381" s="523">
        <f>SUMIFS('Accounting data'!$G$2:$G$37000,'Accounting data'!$H$2:$H$37000,"9999*",'Accounting data'!$I$2:$I$37000,"7*",'Accounting data'!$J$2:$J$37000,"29*",'Accounting data'!$K$2:$K$37000,"65*")+SUMIFS('Accounting data'!$G$2:$G$37000,'Accounting data'!$H$2:$H$37000,"9999*",'Accounting data'!$I$2:$I$37000,"8*",'Accounting data'!$J$2:$J$37000,"29*",'Accounting data'!$K$2:$K$37000,"65*")+SUMIFS('Accounting data'!$G$2:$G$37000,'Accounting data'!$H$2:$H$37000,"9999*",'Accounting data'!$I$2:$I$37000,"9*",'Accounting data'!$J$2:$J$37000,"29*",'Accounting data'!$K$2:$K$37000,"65*")</f>
        <v>0</v>
      </c>
    </row>
    <row r="400" spans="1:5" x14ac:dyDescent="0.2">
      <c r="A400" s="525" t="s">
        <v>1030</v>
      </c>
      <c r="B400" s="525"/>
      <c r="C400" s="525"/>
      <c r="D400" s="525"/>
      <c r="E400" s="527">
        <f>((E374-E375-E376-E377-E378)+(E379+E380+E381+E382+E383+E384+E385+E386+E387))-((E388-E389-E390)+(E391+E392+E393))-((E394-E395-E396)+(E397+E398+E399))</f>
        <v>0</v>
      </c>
    </row>
    <row r="401" spans="1:5" x14ac:dyDescent="0.2">
      <c r="A401" s="522" t="s">
        <v>991</v>
      </c>
      <c r="B401" s="522" t="s">
        <v>991</v>
      </c>
      <c r="C401" s="522">
        <v>2600</v>
      </c>
      <c r="D401" s="531" t="s">
        <v>1023</v>
      </c>
      <c r="E401" s="523">
        <f>SUMIFS('Accounting data'!$G$2:$G$37000,'Accounting data'!$J$2:$J$37000,"26*",'Accounting data'!$K$2:$K$37000,"63*")+SUMIFS('Accounting data'!$G$2:$G$37000,'Accounting data'!$J$2:$J$37000,"26*",'Accounting data'!$K$2:$K$37000,"64*")+SUMIFS('Accounting data'!$G$2:$G$37000,'Accounting data'!$J$2:$J$37000,"26*",'Accounting data'!$K$2:$K$37000,"65*")</f>
        <v>626037</v>
      </c>
    </row>
    <row r="402" spans="1:5" x14ac:dyDescent="0.2">
      <c r="A402" s="522" t="s">
        <v>992</v>
      </c>
      <c r="B402" s="522" t="s">
        <v>991</v>
      </c>
      <c r="C402" s="522">
        <v>2600</v>
      </c>
      <c r="D402" s="522">
        <v>6300</v>
      </c>
      <c r="E402" s="523">
        <f>SUMIFS('Accounting data'!$G$2:$G$37000,'Accounting data'!$H$2:$H$37000,"9999*",'Accounting data'!$J$2:$J$37000,"26*",'Accounting data'!$K$2:$K$37000,"63*")</f>
        <v>0</v>
      </c>
    </row>
    <row r="403" spans="1:5" x14ac:dyDescent="0.2">
      <c r="A403" s="522" t="s">
        <v>992</v>
      </c>
      <c r="B403" s="522" t="s">
        <v>991</v>
      </c>
      <c r="C403" s="522">
        <v>2600</v>
      </c>
      <c r="D403" s="522">
        <v>6400</v>
      </c>
      <c r="E403" s="523">
        <f>SUMIFS('Accounting data'!$G$2:$G$37000,'Accounting data'!$H$2:$H$37000,"9999*",'Accounting data'!$J$2:$J$37000,"26*",'Accounting data'!$K$2:$K$37000,"64*")</f>
        <v>0</v>
      </c>
    </row>
    <row r="404" spans="1:5" x14ac:dyDescent="0.2">
      <c r="A404" s="522" t="s">
        <v>992</v>
      </c>
      <c r="B404" s="522" t="s">
        <v>991</v>
      </c>
      <c r="C404" s="522">
        <v>2600</v>
      </c>
      <c r="D404" s="522">
        <v>6500</v>
      </c>
      <c r="E404" s="523">
        <f>SUMIFS('Accounting data'!$G$2:$G$37000,'Accounting data'!$H$2:$H$37000,"9999*",'Accounting data'!$J$2:$J$37000,"26*",'Accounting data'!$K$2:$K$37000,"65*")</f>
        <v>0</v>
      </c>
    </row>
    <row r="405" spans="1:5" x14ac:dyDescent="0.2">
      <c r="A405" s="522" t="s">
        <v>991</v>
      </c>
      <c r="B405" s="522" t="s">
        <v>993</v>
      </c>
      <c r="C405" s="522">
        <v>2600</v>
      </c>
      <c r="D405" s="531" t="s">
        <v>1023</v>
      </c>
      <c r="E405" s="523">
        <f>SUMIFS('Accounting data'!$G$2:$G$37000,'Accounting data'!$I$2:$I$37000,"7*",'Accounting data'!$J$2:$J$37000,"26*",'Accounting data'!$K$2:$K$37000,"63*")+SUMIFS('Accounting data'!$G$2:$G$37000,'Accounting data'!$I$2:$I$37000,"8*",'Accounting data'!$J$2:$J$37000,"26*",'Accounting data'!$K$2:$K$37000,"63*")+SUMIFS('Accounting data'!$G$2:$G$37000,'Accounting data'!$I$2:$I$37000,"9*",'Accounting data'!$J$2:$J$37000,"26*",'Accounting data'!$K$2:$K$37000,"63*")+SUMIFS('Accounting data'!$G$2:$G$37000,'Accounting data'!$I$2:$I$37000,"7*",'Accounting data'!$J$2:$J$37000,"26*",'Accounting data'!$K$2:$K$37000,"64*")+SUMIFS('Accounting data'!$G$2:$G$37000,'Accounting data'!$I$2:$I$37000,"8*",'Accounting data'!$J$2:$J$37000,"26*",'Accounting data'!$K$2:$K$37000,"64*")+SUMIFS('Accounting data'!$G$2:$G$37000,'Accounting data'!$I$2:$I$37000,"9*",'Accounting data'!$J$2:$J$37000,"26*",'Accounting data'!$K$2:$K$37000,"64*")+SUMIFS('Accounting data'!$G$2:$G$37000,'Accounting data'!$I$2:$I$37000,"7*",'Accounting data'!$J$2:$J$37000,"26*",'Accounting data'!$K$2:$K$37000,"65*")+SUMIFS('Accounting data'!$G$2:$G$37000,'Accounting data'!$I$2:$I$37000,"8*",'Accounting data'!$J$2:$J$37000,"26*",'Accounting data'!$K$2:$K$37000,"65*")+SUMIFS('Accounting data'!$G$2:$G$37000,'Accounting data'!$I$2:$I$37000,"9*",'Accounting data'!$J$2:$J$37000,"26*",'Accounting data'!$K$2:$K$37000,"65*")</f>
        <v>0</v>
      </c>
    </row>
    <row r="406" spans="1:5" x14ac:dyDescent="0.2">
      <c r="A406" s="524" t="s">
        <v>992</v>
      </c>
      <c r="B406" s="522" t="s">
        <v>993</v>
      </c>
      <c r="C406" s="522">
        <v>2600</v>
      </c>
      <c r="D406" s="522">
        <v>6300</v>
      </c>
      <c r="E406" s="523">
        <f>SUMIFS('Accounting data'!$G$2:$G$37000,'Accounting data'!$H$2:$H$37000,"9999*",'Accounting data'!$I$2:$I$37000,"7*",'Accounting data'!$J$2:$J$37000,"26*",'Accounting data'!$K$2:$K$37000,"63*")+SUMIFS('Accounting data'!$G$2:$G$37000,'Accounting data'!$H$2:$H$37000,"9999*",'Accounting data'!$I$2:$I$37000,"8*",'Accounting data'!$J$2:$J$37000,"26*",'Accounting data'!$K$2:$K$37000,"63*")+SUMIFS('Accounting data'!$G$2:$G$37000,'Accounting data'!$H$2:$H$37000,"9999*",'Accounting data'!$I$2:$I$37000,"9*",'Accounting data'!$J$2:$J$37000,"26*",'Accounting data'!$K$2:$K$37000,"63*")</f>
        <v>0</v>
      </c>
    </row>
    <row r="407" spans="1:5" x14ac:dyDescent="0.2">
      <c r="A407" s="524" t="s">
        <v>992</v>
      </c>
      <c r="B407" s="522" t="s">
        <v>993</v>
      </c>
      <c r="C407" s="522">
        <v>2600</v>
      </c>
      <c r="D407" s="522">
        <v>6400</v>
      </c>
      <c r="E407" s="523">
        <f>SUMIFS('Accounting data'!$G$2:$G$37000,'Accounting data'!$H$2:$H$37000,"9999*",'Accounting data'!$I$2:$I$37000,"7*",'Accounting data'!$J$2:$J$37000,"26*",'Accounting data'!$K$2:$K$37000,"64*")+SUMIFS('Accounting data'!$G$2:$G$37000,'Accounting data'!$H$2:$H$37000,"9999*",'Accounting data'!$I$2:$I$37000,"8*",'Accounting data'!$J$2:$J$37000,"26*",'Accounting data'!$K$2:$K$37000,"64*")+SUMIFS('Accounting data'!$G$2:$G$37000,'Accounting data'!$H$2:$H$37000,"9999*",'Accounting data'!$I$2:$I$37000,"9*",'Accounting data'!$J$2:$J$37000,"26*",'Accounting data'!$K$2:$K$37000,"64*")</f>
        <v>0</v>
      </c>
    </row>
    <row r="408" spans="1:5" x14ac:dyDescent="0.2">
      <c r="A408" s="524" t="s">
        <v>992</v>
      </c>
      <c r="B408" s="522" t="s">
        <v>993</v>
      </c>
      <c r="C408" s="522">
        <v>2600</v>
      </c>
      <c r="D408" s="522">
        <v>6500</v>
      </c>
      <c r="E408" s="523">
        <f>SUMIFS('Accounting data'!$G$2:$G$37000,'Accounting data'!$H$2:$H$37000,"9999*",'Accounting data'!$I$2:$I$37000,"7*",'Accounting data'!$J$2:$J$37000,"26*",'Accounting data'!$K$2:$K$37000,"65*")+SUMIFS('Accounting data'!$G$2:$G$37000,'Accounting data'!$H$2:$H$37000,"9999*",'Accounting data'!$I$2:$I$37000,"8*",'Accounting data'!$J$2:$J$37000,"26*",'Accounting data'!$K$2:$K$37000,"65*")+SUMIFS('Accounting data'!$G$2:$G$37000,'Accounting data'!$H$2:$H$37000,"9999*",'Accounting data'!$I$2:$I$37000,"9*",'Accounting data'!$J$2:$J$37000,"26*",'Accounting data'!$K$2:$K$37000,"65*")</f>
        <v>0</v>
      </c>
    </row>
    <row r="427" spans="1:5" x14ac:dyDescent="0.2">
      <c r="A427" s="525" t="s">
        <v>1031</v>
      </c>
      <c r="B427" s="525"/>
      <c r="C427" s="525"/>
      <c r="D427" s="525"/>
      <c r="E427" s="527">
        <f>((E401-E402-E403-E404-E405)+(E406+E407+E408+E409+E410+E411+E412+E413+E414))-((E415-E416-E417)+(E418+E419+E420))-((E421-E422-E423)+(E424+E425+E426))</f>
        <v>626037</v>
      </c>
    </row>
    <row r="428" spans="1:5" x14ac:dyDescent="0.2">
      <c r="A428" s="522" t="s">
        <v>991</v>
      </c>
      <c r="B428" s="522" t="s">
        <v>991</v>
      </c>
      <c r="C428" s="522">
        <v>2700</v>
      </c>
      <c r="D428" s="531" t="s">
        <v>1023</v>
      </c>
      <c r="E428" s="523">
        <f>SUMIFS('Accounting data'!$G$2:$G$37000,'Accounting data'!$J$2:$J$37000,"27*",'Accounting data'!$K$2:$K$37000,"63*")+SUMIFS('Accounting data'!$G$2:$G$37000,'Accounting data'!$J$2:$J$37000,"27*",'Accounting data'!$K$2:$K$37000,"64*")+SUMIFS('Accounting data'!$G$2:$G$37000,'Accounting data'!$J$2:$J$37000,"27*",'Accounting data'!$K$2:$K$37000,"65*")</f>
        <v>0</v>
      </c>
    </row>
    <row r="429" spans="1:5" x14ac:dyDescent="0.2">
      <c r="A429" s="522" t="s">
        <v>992</v>
      </c>
      <c r="B429" s="522" t="s">
        <v>991</v>
      </c>
      <c r="C429" s="522">
        <v>2700</v>
      </c>
      <c r="D429" s="522">
        <v>6300</v>
      </c>
      <c r="E429" s="523">
        <f>SUMIFS('Accounting data'!$G$2:$G$37000,'Accounting data'!$H$2:$H$37000,"9999*",'Accounting data'!$J$2:$J$37000,"27*",'Accounting data'!$K$2:$K$37000,"63*")</f>
        <v>0</v>
      </c>
    </row>
    <row r="430" spans="1:5" x14ac:dyDescent="0.2">
      <c r="A430" s="522" t="s">
        <v>992</v>
      </c>
      <c r="B430" s="522" t="s">
        <v>991</v>
      </c>
      <c r="C430" s="522">
        <v>2700</v>
      </c>
      <c r="D430" s="522">
        <v>6400</v>
      </c>
      <c r="E430" s="523">
        <f>SUMIFS('Accounting data'!$G$2:$G$37000,'Accounting data'!$H$2:$H$37000,"9999*",'Accounting data'!$J$2:$J$37000,"27*",'Accounting data'!$K$2:$K$37000,"64*")</f>
        <v>0</v>
      </c>
    </row>
    <row r="431" spans="1:5" x14ac:dyDescent="0.2">
      <c r="A431" s="522" t="s">
        <v>992</v>
      </c>
      <c r="B431" s="522" t="s">
        <v>991</v>
      </c>
      <c r="C431" s="522">
        <v>2700</v>
      </c>
      <c r="D431" s="522">
        <v>6500</v>
      </c>
      <c r="E431" s="523">
        <f>SUMIFS('Accounting data'!$G$2:$G$37000,'Accounting data'!$H$2:$H$37000,"9999*",'Accounting data'!$J$2:$J$37000,"27*",'Accounting data'!$K$2:$K$37000,"65*")</f>
        <v>0</v>
      </c>
    </row>
    <row r="432" spans="1:5" x14ac:dyDescent="0.2">
      <c r="A432" s="522" t="s">
        <v>991</v>
      </c>
      <c r="B432" s="522" t="s">
        <v>993</v>
      </c>
      <c r="C432" s="522">
        <v>2700</v>
      </c>
      <c r="D432" s="531" t="s">
        <v>1023</v>
      </c>
      <c r="E432" s="523">
        <f>SUMIFS('Accounting data'!$G$2:$G$37000,'Accounting data'!$I$2:$I$37000,"7*",'Accounting data'!$J$2:$J$37000,"27*",'Accounting data'!$K$2:$K$37000,"63*")+SUMIFS('Accounting data'!$G$2:$G$37000,'Accounting data'!$I$2:$I$37000,"8*",'Accounting data'!$J$2:$J$37000,"27*",'Accounting data'!$K$2:$K$37000,"63*")+SUMIFS('Accounting data'!$G$2:$G$37000,'Accounting data'!$I$2:$I$37000,"9*",'Accounting data'!$J$2:$J$37000,"27*",'Accounting data'!$K$2:$K$37000,"63*")+SUMIFS('Accounting data'!$G$2:$G$37000,'Accounting data'!$I$2:$I$37000,"7*",'Accounting data'!$J$2:$J$37000,"27*",'Accounting data'!$K$2:$K$37000,"64*")+SUMIFS('Accounting data'!$G$2:$G$37000,'Accounting data'!$I$2:$I$37000,"8*",'Accounting data'!$J$2:$J$37000,"27*",'Accounting data'!$K$2:$K$37000,"64*")+SUMIFS('Accounting data'!$G$2:$G$37000,'Accounting data'!$I$2:$I$37000,"9*",'Accounting data'!$J$2:$J$37000,"27*",'Accounting data'!$K$2:$K$37000,"64*")+SUMIFS('Accounting data'!$G$2:$G$37000,'Accounting data'!$I$2:$I$37000,"7*",'Accounting data'!$J$2:$J$37000,"27*",'Accounting data'!$K$2:$K$37000,"65*")+SUMIFS('Accounting data'!$G$2:$G$37000,'Accounting data'!$I$2:$I$37000,"8*",'Accounting data'!$J$2:$J$37000,"27*",'Accounting data'!$K$2:$K$37000,"65*")+SUMIFS('Accounting data'!$G$2:$G$37000,'Accounting data'!$I$2:$I$37000,"9*",'Accounting data'!$J$2:$J$37000,"27*",'Accounting data'!$K$2:$K$37000,"65*")</f>
        <v>0</v>
      </c>
    </row>
    <row r="433" spans="1:5" x14ac:dyDescent="0.2">
      <c r="A433" s="524" t="s">
        <v>992</v>
      </c>
      <c r="B433" s="522" t="s">
        <v>993</v>
      </c>
      <c r="C433" s="522">
        <v>2700</v>
      </c>
      <c r="D433" s="522">
        <v>6300</v>
      </c>
      <c r="E433" s="523">
        <f>SUMIFS('Accounting data'!$G$2:$G$37000,'Accounting data'!$H$2:$H$37000,"9999*",'Accounting data'!$I$2:$I$37000,"7*",'Accounting data'!$J$2:$J$37000,"27*",'Accounting data'!$K$2:$K$37000,"63*")+SUMIFS('Accounting data'!$G$2:$G$37000,'Accounting data'!$H$2:$H$37000,"9999*",'Accounting data'!$I$2:$I$37000,"8*",'Accounting data'!$J$2:$J$37000,"27*",'Accounting data'!$K$2:$K$37000,"63*")+SUMIFS('Accounting data'!$G$2:$G$37000,'Accounting data'!$H$2:$H$37000,"9999*",'Accounting data'!$I$2:$I$37000,"9*",'Accounting data'!$J$2:$J$37000,"27*",'Accounting data'!$K$2:$K$37000,"63*")</f>
        <v>0</v>
      </c>
    </row>
    <row r="434" spans="1:5" x14ac:dyDescent="0.2">
      <c r="A434" s="524" t="s">
        <v>992</v>
      </c>
      <c r="B434" s="522" t="s">
        <v>993</v>
      </c>
      <c r="C434" s="522">
        <v>2700</v>
      </c>
      <c r="D434" s="522">
        <v>6400</v>
      </c>
      <c r="E434" s="523">
        <f>SUMIFS('Accounting data'!$G$2:$G$37000,'Accounting data'!$H$2:$H$37000,"9999*",'Accounting data'!$I$2:$I$37000,"7*",'Accounting data'!$J$2:$J$37000,"27*",'Accounting data'!$K$2:$K$37000,"64*")+SUMIFS('Accounting data'!$G$2:$G$37000,'Accounting data'!$H$2:$H$37000,"9999*",'Accounting data'!$I$2:$I$37000,"8*",'Accounting data'!$J$2:$J$37000,"27*",'Accounting data'!$K$2:$K$37000,"64*")+SUMIFS('Accounting data'!$G$2:$G$37000,'Accounting data'!$H$2:$H$37000,"9999*",'Accounting data'!$I$2:$I$37000,"9*",'Accounting data'!$J$2:$J$37000,"27*",'Accounting data'!$K$2:$K$37000,"64*")</f>
        <v>0</v>
      </c>
    </row>
    <row r="435" spans="1:5" x14ac:dyDescent="0.2">
      <c r="A435" s="524" t="s">
        <v>992</v>
      </c>
      <c r="B435" s="522" t="s">
        <v>993</v>
      </c>
      <c r="C435" s="522">
        <v>2700</v>
      </c>
      <c r="D435" s="522">
        <v>6500</v>
      </c>
      <c r="E435" s="523">
        <f>SUMIFS('Accounting data'!$G$2:$G$37000,'Accounting data'!$H$2:$H$37000,"9999*",'Accounting data'!$I$2:$I$37000,"7*",'Accounting data'!$J$2:$J$37000,"27*",'Accounting data'!$K$2:$K$37000,"65*")+SUMIFS('Accounting data'!$G$2:$G$37000,'Accounting data'!$H$2:$H$37000,"9999*",'Accounting data'!$I$2:$I$37000,"8*",'Accounting data'!$J$2:$J$37000,"27*",'Accounting data'!$K$2:$K$37000,"65*")+SUMIFS('Accounting data'!$G$2:$G$37000,'Accounting data'!$H$2:$H$37000,"9999*",'Accounting data'!$I$2:$I$37000,"9*",'Accounting data'!$J$2:$J$37000,"27*",'Accounting data'!$K$2:$K$37000,"65*")</f>
        <v>0</v>
      </c>
    </row>
    <row r="454" spans="1:5" x14ac:dyDescent="0.2">
      <c r="A454" s="525" t="s">
        <v>1032</v>
      </c>
      <c r="B454" s="525"/>
      <c r="C454" s="525"/>
      <c r="D454" s="525"/>
      <c r="E454" s="527">
        <f>((E428-E429-E430-E431-E432)+(E433+E434+E435+E436+E437+E438+E439+E440+E441))-((E442-E443-E444)+(E445+E446+E447))-((E448-E449-E450)+(E451+E452+E453))</f>
        <v>0</v>
      </c>
    </row>
    <row r="455" spans="1:5" x14ac:dyDescent="0.2">
      <c r="A455" s="522" t="s">
        <v>991</v>
      </c>
      <c r="B455" s="522" t="s">
        <v>991</v>
      </c>
      <c r="C455" s="522">
        <v>3100</v>
      </c>
      <c r="D455" s="531" t="s">
        <v>1023</v>
      </c>
      <c r="E455" s="523">
        <f>SUMIFS('Accounting data'!$G$2:$G$37000,'Accounting data'!$J$2:$J$37000,"31*",'Accounting data'!$K$2:$K$37000,"63*")+SUMIFS('Accounting data'!$G$2:$G$37000,'Accounting data'!$J$2:$J$37000,"31*",'Accounting data'!$K$2:$K$37000,"64*")+SUMIFS('Accounting data'!$G$2:$G$37000,'Accounting data'!$J$2:$J$37000,"31*",'Accounting data'!$K$2:$K$37000,"65*")</f>
        <v>0</v>
      </c>
    </row>
    <row r="456" spans="1:5" x14ac:dyDescent="0.2">
      <c r="A456" s="522" t="s">
        <v>992</v>
      </c>
      <c r="B456" s="522" t="s">
        <v>991</v>
      </c>
      <c r="C456" s="522">
        <v>3100</v>
      </c>
      <c r="D456" s="522">
        <v>6300</v>
      </c>
      <c r="E456" s="523">
        <f>SUMIFS('Accounting data'!$G$2:$G$37000,'Accounting data'!$H$2:$H$37000,"9999*",'Accounting data'!$J$2:$J$37000,"31*",'Accounting data'!$K$2:$K$37000,"63*")</f>
        <v>0</v>
      </c>
    </row>
    <row r="457" spans="1:5" x14ac:dyDescent="0.2">
      <c r="A457" s="522" t="s">
        <v>992</v>
      </c>
      <c r="B457" s="522" t="s">
        <v>991</v>
      </c>
      <c r="C457" s="522">
        <v>3100</v>
      </c>
      <c r="D457" s="522">
        <v>6400</v>
      </c>
      <c r="E457" s="523">
        <f>SUMIFS('Accounting data'!$G$2:$G$37000,'Accounting data'!$H$2:$H$37000,"9999*",'Accounting data'!$J$2:$J$37000,"31*",'Accounting data'!$K$2:$K$37000,"64*")</f>
        <v>0</v>
      </c>
    </row>
    <row r="458" spans="1:5" x14ac:dyDescent="0.2">
      <c r="A458" s="522" t="s">
        <v>992</v>
      </c>
      <c r="B458" s="522" t="s">
        <v>991</v>
      </c>
      <c r="C458" s="522">
        <v>3100</v>
      </c>
      <c r="D458" s="522">
        <v>6500</v>
      </c>
      <c r="E458" s="523">
        <f>SUMIFS('Accounting data'!$G$2:$G$37000,'Accounting data'!$H$2:$H$37000,"9999*",'Accounting data'!$J$2:$J$37000,"31*",'Accounting data'!$K$2:$K$37000,"65*")</f>
        <v>0</v>
      </c>
    </row>
    <row r="459" spans="1:5" x14ac:dyDescent="0.2">
      <c r="A459" s="522" t="s">
        <v>991</v>
      </c>
      <c r="B459" s="522" t="s">
        <v>993</v>
      </c>
      <c r="C459" s="522">
        <v>3100</v>
      </c>
      <c r="D459" s="531" t="s">
        <v>1023</v>
      </c>
      <c r="E459" s="523">
        <f>SUMIFS('Accounting data'!$G$2:$G$37000,'Accounting data'!$I$2:$I$37000,"7*",'Accounting data'!$J$2:$J$37000,"31*",'Accounting data'!$K$2:$K$37000,"63*")+SUMIFS('Accounting data'!$G$2:$G$37000,'Accounting data'!$I$2:$I$37000,"8*",'Accounting data'!$J$2:$J$37000,"31*",'Accounting data'!$K$2:$K$37000,"63*")+SUMIFS('Accounting data'!$G$2:$G$37000,'Accounting data'!$I$2:$I$37000,"9*",'Accounting data'!$J$2:$J$37000,"31*",'Accounting data'!$K$2:$K$37000,"63*")+SUMIFS('Accounting data'!$G$2:$G$37000,'Accounting data'!$I$2:$I$37000,"7*",'Accounting data'!$J$2:$J$37000,"31*",'Accounting data'!$K$2:$K$37000,"64*")+SUMIFS('Accounting data'!$G$2:$G$37000,'Accounting data'!$I$2:$I$37000,"8*",'Accounting data'!$J$2:$J$37000,"31*",'Accounting data'!$K$2:$K$37000,"64*")+SUMIFS('Accounting data'!$G$2:$G$37000,'Accounting data'!$I$2:$I$37000,"9*",'Accounting data'!$J$2:$J$37000,"31*",'Accounting data'!$K$2:$K$37000,"64*")+SUMIFS('Accounting data'!$G$2:$G$37000,'Accounting data'!$I$2:$I$37000,"7*",'Accounting data'!$J$2:$J$37000,"31*",'Accounting data'!$K$2:$K$37000,"65*")+SUMIFS('Accounting data'!$G$2:$G$37000,'Accounting data'!$I$2:$I$37000,"8*",'Accounting data'!$J$2:$J$37000,"31*",'Accounting data'!$K$2:$K$37000,"65*")+SUMIFS('Accounting data'!$G$2:$G$37000,'Accounting data'!$I$2:$I$37000,"9*",'Accounting data'!$J$2:$J$37000,"31*",'Accounting data'!$K$2:$K$37000,"65*")</f>
        <v>0</v>
      </c>
    </row>
    <row r="460" spans="1:5" x14ac:dyDescent="0.2">
      <c r="A460" s="524" t="s">
        <v>992</v>
      </c>
      <c r="B460" s="522" t="s">
        <v>993</v>
      </c>
      <c r="C460" s="522">
        <v>3100</v>
      </c>
      <c r="D460" s="522">
        <v>6300</v>
      </c>
      <c r="E460" s="523">
        <f>SUMIFS('Accounting data'!$G$2:$G$37000,'Accounting data'!$H$2:$H$37000,"9999*",'Accounting data'!$I$2:$I$37000,"7*",'Accounting data'!$J$2:$J$37000,"31*",'Accounting data'!$K$2:$K$37000,"63*")+SUMIFS('Accounting data'!$G$2:$G$37000,'Accounting data'!$H$2:$H$37000,"9999*",'Accounting data'!$I$2:$I$37000,"8*",'Accounting data'!$J$2:$J$37000,"31*",'Accounting data'!$K$2:$K$37000,"63*")+SUMIFS('Accounting data'!$G$2:$G$37000,'Accounting data'!$H$2:$H$37000,"9999*",'Accounting data'!$I$2:$I$37000,"9*",'Accounting data'!$J$2:$J$37000,"31*",'Accounting data'!$K$2:$K$37000,"63*")</f>
        <v>0</v>
      </c>
    </row>
    <row r="461" spans="1:5" x14ac:dyDescent="0.2">
      <c r="A461" s="524" t="s">
        <v>992</v>
      </c>
      <c r="B461" s="522" t="s">
        <v>993</v>
      </c>
      <c r="C461" s="522">
        <v>3100</v>
      </c>
      <c r="D461" s="522">
        <v>6400</v>
      </c>
      <c r="E461" s="523">
        <f>SUMIFS('Accounting data'!$G$2:$G$37000,'Accounting data'!$H$2:$H$37000,"9999*",'Accounting data'!$I$2:$I$37000,"7*",'Accounting data'!$J$2:$J$37000,"31*",'Accounting data'!$K$2:$K$37000,"64*")+SUMIFS('Accounting data'!$G$2:$G$37000,'Accounting data'!$H$2:$H$37000,"9999*",'Accounting data'!$I$2:$I$37000,"8*",'Accounting data'!$J$2:$J$37000,"31*",'Accounting data'!$K$2:$K$37000,"64*")+SUMIFS('Accounting data'!$G$2:$G$37000,'Accounting data'!$H$2:$H$37000,"9999*",'Accounting data'!$I$2:$I$37000,"9*",'Accounting data'!$J$2:$J$37000,"31*",'Accounting data'!$K$2:$K$37000,"64*")</f>
        <v>0</v>
      </c>
    </row>
    <row r="462" spans="1:5" x14ac:dyDescent="0.2">
      <c r="A462" s="524" t="s">
        <v>992</v>
      </c>
      <c r="B462" s="522" t="s">
        <v>993</v>
      </c>
      <c r="C462" s="522">
        <v>3100</v>
      </c>
      <c r="D462" s="522">
        <v>6500</v>
      </c>
      <c r="E462" s="523">
        <f>SUMIFS('Accounting data'!$G$2:$G$37000,'Accounting data'!$H$2:$H$37000,"9999*",'Accounting data'!$I$2:$I$37000,"7*",'Accounting data'!$J$2:$J$37000,"31*",'Accounting data'!$K$2:$K$37000,"65*")+SUMIFS('Accounting data'!$G$2:$G$37000,'Accounting data'!$H$2:$H$37000,"9999*",'Accounting data'!$I$2:$I$37000,"8*",'Accounting data'!$J$2:$J$37000,"31*",'Accounting data'!$K$2:$K$37000,"65*")+SUMIFS('Accounting data'!$G$2:$G$37000,'Accounting data'!$H$2:$H$37000,"9999*",'Accounting data'!$I$2:$I$37000,"9*",'Accounting data'!$J$2:$J$37000,"31*",'Accounting data'!$K$2:$K$37000,"65*")</f>
        <v>0</v>
      </c>
    </row>
    <row r="481" spans="1:5" x14ac:dyDescent="0.2">
      <c r="A481" s="525" t="s">
        <v>1033</v>
      </c>
      <c r="B481" s="525"/>
      <c r="C481" s="525"/>
      <c r="D481" s="525"/>
      <c r="E481" s="527">
        <f>((E455-E456-E457-E458-E459)+(E460+E461+E462+E463+E464+E465+E466+E467+E468))-((E469-E470-E471)+(E472+E473+E474))-((E475-E476-E477)+(E478+E479+E480))</f>
        <v>0</v>
      </c>
    </row>
    <row r="509" spans="1:5" x14ac:dyDescent="0.2">
      <c r="A509" s="522" t="s">
        <v>991</v>
      </c>
      <c r="B509" s="522" t="s">
        <v>991</v>
      </c>
      <c r="C509" s="522">
        <v>3400</v>
      </c>
      <c r="D509" s="531" t="s">
        <v>1023</v>
      </c>
      <c r="E509" s="523">
        <f>SUMIFS('Accounting data'!$G$2:$G$37000,'Accounting data'!$J$2:$J$37000,"34*",'Accounting data'!$K$2:$K$37000,"63*")+SUMIFS('Accounting data'!$G$2:$G$37000,'Accounting data'!$J$2:$J$37000,"34*",'Accounting data'!$K$2:$K$37000,"64*")+SUMIFS('Accounting data'!$G$2:$G$37000,'Accounting data'!$J$2:$J$37000,"34*",'Accounting data'!$K$2:$K$37000,"65*")</f>
        <v>0</v>
      </c>
    </row>
    <row r="510" spans="1:5" x14ac:dyDescent="0.2">
      <c r="A510" s="522" t="s">
        <v>992</v>
      </c>
      <c r="B510" s="522" t="s">
        <v>991</v>
      </c>
      <c r="C510" s="522">
        <v>3400</v>
      </c>
      <c r="D510" s="522">
        <v>6300</v>
      </c>
      <c r="E510" s="523">
        <f>SUMIFS('Accounting data'!$G$2:$G$37000,'Accounting data'!$H$2:$H$37000,"9999*",'Accounting data'!$J$2:$J$37000,"34*",'Accounting data'!$K$2:$K$37000,"63*")</f>
        <v>0</v>
      </c>
    </row>
    <row r="511" spans="1:5" x14ac:dyDescent="0.2">
      <c r="A511" s="522" t="s">
        <v>992</v>
      </c>
      <c r="B511" s="522" t="s">
        <v>991</v>
      </c>
      <c r="C511" s="522">
        <v>3400</v>
      </c>
      <c r="D511" s="522">
        <v>6400</v>
      </c>
      <c r="E511" s="523">
        <f>SUMIFS('Accounting data'!$G$2:$G$37000,'Accounting data'!$H$2:$H$37000,"9999*",'Accounting data'!$J$2:$J$37000,"34*",'Accounting data'!$K$2:$K$37000,"64*")</f>
        <v>0</v>
      </c>
    </row>
    <row r="512" spans="1:5" x14ac:dyDescent="0.2">
      <c r="A512" s="522" t="s">
        <v>992</v>
      </c>
      <c r="B512" s="522" t="s">
        <v>991</v>
      </c>
      <c r="C512" s="522">
        <v>3400</v>
      </c>
      <c r="D512" s="522">
        <v>6500</v>
      </c>
      <c r="E512" s="523">
        <f>SUMIFS('Accounting data'!$G$2:$G$37000,'Accounting data'!$H$2:$H$37000,"9999*",'Accounting data'!$J$2:$J$37000,"34*",'Accounting data'!$K$2:$K$37000,"65*")</f>
        <v>0</v>
      </c>
    </row>
    <row r="513" spans="1:5" x14ac:dyDescent="0.2">
      <c r="A513" s="522" t="s">
        <v>991</v>
      </c>
      <c r="B513" s="522" t="s">
        <v>993</v>
      </c>
      <c r="C513" s="522">
        <v>3400</v>
      </c>
      <c r="D513" s="531" t="s">
        <v>1023</v>
      </c>
      <c r="E513" s="523">
        <f>SUMIFS('Accounting data'!$G$2:$G$37000,'Accounting data'!$I$2:$I$37000,"7*",'Accounting data'!$J$2:$J$37000,"34*",'Accounting data'!$K$2:$K$37000,"63*")+SUMIFS('Accounting data'!$G$2:$G$37000,'Accounting data'!$I$2:$I$37000,"8*",'Accounting data'!$J$2:$J$37000,"34*",'Accounting data'!$K$2:$K$37000,"63*")+SUMIFS('Accounting data'!$G$2:$G$37000,'Accounting data'!$I$2:$I$37000,"9*",'Accounting data'!$J$2:$J$37000,"34*",'Accounting data'!$K$2:$K$37000,"63*")+SUMIFS('Accounting data'!$G$2:$G$37000,'Accounting data'!$I$2:$I$37000,"7*",'Accounting data'!$J$2:$J$37000,"34*",'Accounting data'!$K$2:$K$37000,"64*")+SUMIFS('Accounting data'!$G$2:$G$37000,'Accounting data'!$I$2:$I$37000,"8*",'Accounting data'!$J$2:$J$37000,"34*",'Accounting data'!$K$2:$K$37000,"64*")+SUMIFS('Accounting data'!$G$2:$G$37000,'Accounting data'!$I$2:$I$37000,"9*",'Accounting data'!$J$2:$J$37000,"34*",'Accounting data'!$K$2:$K$37000,"64*")+SUMIFS('Accounting data'!$G$2:$G$37000,'Accounting data'!$I$2:$I$37000,"7*",'Accounting data'!$J$2:$J$37000,"34*",'Accounting data'!$K$2:$K$37000,"65*")+SUMIFS('Accounting data'!$G$2:$G$37000,'Accounting data'!$I$2:$I$37000,"8*",'Accounting data'!$J$2:$J$37000,"34*",'Accounting data'!$K$2:$K$37000,"65*")+SUMIFS('Accounting data'!$G$2:$G$37000,'Accounting data'!$I$2:$I$37000,"9*",'Accounting data'!$J$2:$J$37000,"34*",'Accounting data'!$K$2:$K$37000,"65*")</f>
        <v>0</v>
      </c>
    </row>
    <row r="514" spans="1:5" x14ac:dyDescent="0.2">
      <c r="A514" s="524" t="s">
        <v>992</v>
      </c>
      <c r="B514" s="522" t="s">
        <v>993</v>
      </c>
      <c r="C514" s="522">
        <v>3400</v>
      </c>
      <c r="D514" s="522">
        <v>6300</v>
      </c>
      <c r="E514" s="523">
        <f>SUMIFS('Accounting data'!$G$2:$G$37000,'Accounting data'!$H$2:$H$37000,"9999*",'Accounting data'!$I$2:$I$37000,"7*",'Accounting data'!$J$2:$J$37000,"34*",'Accounting data'!$K$2:$K$37000,"63*")+SUMIFS('Accounting data'!$G$2:$G$37000,'Accounting data'!$H$2:$H$37000,"9999*",'Accounting data'!$I$2:$I$37000,"8*",'Accounting data'!$J$2:$J$37000,"34*",'Accounting data'!$K$2:$K$37000,"63*")+SUMIFS('Accounting data'!$G$2:$G$37000,'Accounting data'!$H$2:$H$37000,"9999*",'Accounting data'!$I$2:$I$37000,"9*",'Accounting data'!$J$2:$J$37000,"34*",'Accounting data'!$K$2:$K$37000,"63*")</f>
        <v>0</v>
      </c>
    </row>
    <row r="515" spans="1:5" x14ac:dyDescent="0.2">
      <c r="A515" s="524" t="s">
        <v>992</v>
      </c>
      <c r="B515" s="522" t="s">
        <v>993</v>
      </c>
      <c r="C515" s="522">
        <v>3400</v>
      </c>
      <c r="D515" s="522">
        <v>6400</v>
      </c>
      <c r="E515" s="523">
        <f>SUMIFS('Accounting data'!$G$2:$G$37000,'Accounting data'!$H$2:$H$37000,"9999*",'Accounting data'!$I$2:$I$37000,"7*",'Accounting data'!$J$2:$J$37000,"34*",'Accounting data'!$K$2:$K$37000,"64*")+SUMIFS('Accounting data'!$G$2:$G$37000,'Accounting data'!$H$2:$H$37000,"9999*",'Accounting data'!$I$2:$I$37000,"8*",'Accounting data'!$J$2:$J$37000,"34*",'Accounting data'!$K$2:$K$37000,"64*")+SUMIFS('Accounting data'!$G$2:$G$37000,'Accounting data'!$H$2:$H$37000,"9999*",'Accounting data'!$I$2:$I$37000,"9*",'Accounting data'!$J$2:$J$37000,"34*",'Accounting data'!$K$2:$K$37000,"64*")</f>
        <v>0</v>
      </c>
    </row>
    <row r="516" spans="1:5" x14ac:dyDescent="0.2">
      <c r="A516" s="524" t="s">
        <v>992</v>
      </c>
      <c r="B516" s="522" t="s">
        <v>993</v>
      </c>
      <c r="C516" s="522">
        <v>3400</v>
      </c>
      <c r="D516" s="522">
        <v>6500</v>
      </c>
      <c r="E516" s="523">
        <f>SUMIFS('Accounting data'!$G$2:$G$37000,'Accounting data'!$H$2:$H$37000,"9999*",'Accounting data'!$I$2:$I$37000,"7*",'Accounting data'!$J$2:$J$37000,"34*",'Accounting data'!$K$2:$K$37000,"65*")+SUMIFS('Accounting data'!$G$2:$G$37000,'Accounting data'!$H$2:$H$37000,"9999*",'Accounting data'!$I$2:$I$37000,"8*",'Accounting data'!$J$2:$J$37000,"34*",'Accounting data'!$K$2:$K$37000,"65*")+SUMIFS('Accounting data'!$G$2:$G$37000,'Accounting data'!$H$2:$H$37000,"9999*",'Accounting data'!$I$2:$I$37000,"9*",'Accounting data'!$J$2:$J$37000,"34*",'Accounting data'!$K$2:$K$37000,"65*")</f>
        <v>0</v>
      </c>
    </row>
    <row r="535" spans="1:5" x14ac:dyDescent="0.2">
      <c r="A535" s="525" t="s">
        <v>1034</v>
      </c>
      <c r="B535" s="525"/>
      <c r="C535" s="525"/>
      <c r="D535" s="525"/>
      <c r="E535" s="527">
        <f>((E509-E510-E511-E512-E513)+(E514+E515+E516+E517+E518+E519+E520+E521+E522))-((E523-E524-E525)+(E526+E527+E528))-((E529-E530-E531)+(E532+E533+E534))</f>
        <v>0</v>
      </c>
    </row>
    <row r="536" spans="1:5" x14ac:dyDescent="0.2">
      <c r="A536" s="522" t="s">
        <v>991</v>
      </c>
      <c r="B536" s="522" t="s">
        <v>991</v>
      </c>
      <c r="C536" s="522">
        <v>4000</v>
      </c>
      <c r="D536" s="531" t="s">
        <v>1023</v>
      </c>
      <c r="E536" s="523">
        <f>SUMIFS('Accounting data'!$G$2:$G$37000,'Accounting data'!$J$2:$J$37000,"4*",'Accounting data'!$K$2:$K$37000,"63*")+SUMIFS('Accounting data'!$G$2:$G$37000,'Accounting data'!$J$2:$J$37000,"4*",'Accounting data'!$K$2:$K$37000,"64*")+SUMIFS('Accounting data'!$G$2:$G$37000,'Accounting data'!$J$2:$J$37000,"4*",'Accounting data'!$K$2:$K$37000,"65*")</f>
        <v>0</v>
      </c>
    </row>
    <row r="537" spans="1:5" x14ac:dyDescent="0.2">
      <c r="A537" s="522" t="s">
        <v>992</v>
      </c>
      <c r="B537" s="522" t="s">
        <v>991</v>
      </c>
      <c r="C537" s="522">
        <v>4000</v>
      </c>
      <c r="D537" s="522">
        <v>6300</v>
      </c>
      <c r="E537" s="523">
        <f>SUMIFS('Accounting data'!$G$2:$G$37000,'Accounting data'!$H$2:$H$37000,"9999*",'Accounting data'!$J$2:$J$37000,"4*",'Accounting data'!$K$2:$K$37000,"63*")</f>
        <v>0</v>
      </c>
    </row>
    <row r="538" spans="1:5" x14ac:dyDescent="0.2">
      <c r="A538" s="522" t="s">
        <v>992</v>
      </c>
      <c r="B538" s="522" t="s">
        <v>991</v>
      </c>
      <c r="C538" s="522">
        <v>4000</v>
      </c>
      <c r="D538" s="522">
        <v>6400</v>
      </c>
      <c r="E538" s="523">
        <f>SUMIFS('Accounting data'!$G$2:$G$37000,'Accounting data'!$H$2:$H$37000,"9999*",'Accounting data'!$J$2:$J$37000,"4*",'Accounting data'!$K$2:$K$37000,"64*")</f>
        <v>0</v>
      </c>
    </row>
    <row r="539" spans="1:5" x14ac:dyDescent="0.2">
      <c r="A539" s="522" t="s">
        <v>992</v>
      </c>
      <c r="B539" s="522" t="s">
        <v>991</v>
      </c>
      <c r="C539" s="522">
        <v>4000</v>
      </c>
      <c r="D539" s="522">
        <v>6500</v>
      </c>
      <c r="E539" s="523">
        <f>SUMIFS('Accounting data'!$G$2:$G$37000,'Accounting data'!$H$2:$H$37000,"9999*",'Accounting data'!$J$2:$J$37000,"4*",'Accounting data'!$K$2:$K$37000,"65*")</f>
        <v>0</v>
      </c>
    </row>
    <row r="540" spans="1:5" x14ac:dyDescent="0.2">
      <c r="A540" s="522" t="s">
        <v>991</v>
      </c>
      <c r="B540" s="522" t="s">
        <v>993</v>
      </c>
      <c r="C540" s="522">
        <v>4000</v>
      </c>
      <c r="D540" s="531" t="s">
        <v>1023</v>
      </c>
      <c r="E540" s="523">
        <f>SUMIFS('Accounting data'!$G$2:$G$37000,'Accounting data'!$I$2:$I$37000,"7*",'Accounting data'!$J$2:$J$37000,"4*",'Accounting data'!$K$2:$K$37000,"63*")+SUMIFS('Accounting data'!$G$2:$G$37000,'Accounting data'!$I$2:$I$37000,"8*",'Accounting data'!$J$2:$J$37000,"4*",'Accounting data'!$K$2:$K$37000,"63*")+SUMIFS('Accounting data'!$G$2:$G$37000,'Accounting data'!$I$2:$I$37000,"9*",'Accounting data'!$J$2:$J$37000,"4*",'Accounting data'!$K$2:$K$37000,"63*")+SUMIFS('Accounting data'!$G$2:$G$37000,'Accounting data'!$I$2:$I$37000,"7*",'Accounting data'!$J$2:$J$37000,"4*",'Accounting data'!$K$2:$K$37000,"64*")+SUMIFS('Accounting data'!$G$2:$G$37000,'Accounting data'!$I$2:$I$37000,"8*",'Accounting data'!$J$2:$J$37000,"4*",'Accounting data'!$K$2:$K$37000,"64*")+SUMIFS('Accounting data'!$G$2:$G$37000,'Accounting data'!$I$2:$I$37000,"9*",'Accounting data'!$J$2:$J$37000,"4*",'Accounting data'!$K$2:$K$37000,"64*")+SUMIFS('Accounting data'!$G$2:$G$37000,'Accounting data'!$I$2:$I$37000,"7*",'Accounting data'!$J$2:$J$37000,"4*",'Accounting data'!$K$2:$K$37000,"65*")+SUMIFS('Accounting data'!$G$2:$G$37000,'Accounting data'!$I$2:$I$37000,"8*",'Accounting data'!$J$2:$J$37000,"4*",'Accounting data'!$K$2:$K$37000,"65*")+SUMIFS('Accounting data'!$G$2:$G$37000,'Accounting data'!$I$2:$I$37000,"9*",'Accounting data'!$J$2:$J$37000,"4*",'Accounting data'!$K$2:$K$37000,"65*")</f>
        <v>0</v>
      </c>
    </row>
    <row r="541" spans="1:5" x14ac:dyDescent="0.2">
      <c r="A541" s="524" t="s">
        <v>992</v>
      </c>
      <c r="B541" s="522" t="s">
        <v>993</v>
      </c>
      <c r="C541" s="522">
        <v>4000</v>
      </c>
      <c r="D541" s="522">
        <v>6300</v>
      </c>
      <c r="E541" s="523">
        <f>SUMIFS('Accounting data'!$G$2:$G$37000,'Accounting data'!$H$2:$H$37000,"9999*",'Accounting data'!$I$2:$I$37000,"7*",'Accounting data'!$J$2:$J$37000,"4*",'Accounting data'!$K$2:$K$37000,"63*")+SUMIFS('Accounting data'!$G$2:$G$37000,'Accounting data'!$H$2:$H$37000,"9999*",'Accounting data'!$I$2:$I$37000,"8*",'Accounting data'!$J$2:$J$37000,"4*",'Accounting data'!$K$2:$K$37000,"63*")+SUMIFS('Accounting data'!$G$2:$G$37000,'Accounting data'!$H$2:$H$37000,"9999*",'Accounting data'!$I$2:$I$37000,"9*",'Accounting data'!$J$2:$J$37000,"4*",'Accounting data'!$K$2:$K$37000,"63*")</f>
        <v>0</v>
      </c>
    </row>
    <row r="542" spans="1:5" x14ac:dyDescent="0.2">
      <c r="A542" s="524" t="s">
        <v>992</v>
      </c>
      <c r="B542" s="522" t="s">
        <v>993</v>
      </c>
      <c r="C542" s="522">
        <v>4000</v>
      </c>
      <c r="D542" s="522">
        <v>6400</v>
      </c>
      <c r="E542" s="523">
        <f>SUMIFS('Accounting data'!$G$2:$G$37000,'Accounting data'!$H$2:$H$37000,"9999*",'Accounting data'!$I$2:$I$37000,"7*",'Accounting data'!$J$2:$J$37000,"4*",'Accounting data'!$K$2:$K$37000,"64*")+SUMIFS('Accounting data'!$G$2:$G$37000,'Accounting data'!$H$2:$H$37000,"9999*",'Accounting data'!$I$2:$I$37000,"8*",'Accounting data'!$J$2:$J$37000,"4*",'Accounting data'!$K$2:$K$37000,"64*")+SUMIFS('Accounting data'!$G$2:$G$37000,'Accounting data'!$H$2:$H$37000,"9999*",'Accounting data'!$I$2:$I$37000,"9*",'Accounting data'!$J$2:$J$37000,"4*",'Accounting data'!$K$2:$K$37000,"64*")</f>
        <v>0</v>
      </c>
    </row>
    <row r="543" spans="1:5" x14ac:dyDescent="0.2">
      <c r="A543" s="524" t="s">
        <v>992</v>
      </c>
      <c r="B543" s="522" t="s">
        <v>993</v>
      </c>
      <c r="C543" s="522">
        <v>4000</v>
      </c>
      <c r="D543" s="522">
        <v>6500</v>
      </c>
      <c r="E543" s="523">
        <f>SUMIFS('Accounting data'!$G$2:$G$37000,'Accounting data'!$H$2:$H$37000,"9999*",'Accounting data'!$I$2:$I$37000,"7*",'Accounting data'!$J$2:$J$37000,"4*",'Accounting data'!$K$2:$K$37000,"65*")+SUMIFS('Accounting data'!$G$2:$G$37000,'Accounting data'!$H$2:$H$37000,"9999*",'Accounting data'!$I$2:$I$37000,"8*",'Accounting data'!$J$2:$J$37000,"4*",'Accounting data'!$K$2:$K$37000,"65*")+SUMIFS('Accounting data'!$G$2:$G$37000,'Accounting data'!$H$2:$H$37000,"9999*",'Accounting data'!$I$2:$I$37000,"9*",'Accounting data'!$J$2:$J$37000,"4*",'Accounting data'!$K$2:$K$37000,"65*")</f>
        <v>0</v>
      </c>
    </row>
    <row r="562" spans="1:5" x14ac:dyDescent="0.2">
      <c r="A562" s="525" t="s">
        <v>1035</v>
      </c>
      <c r="B562" s="525"/>
      <c r="C562" s="525"/>
      <c r="D562" s="525"/>
      <c r="E562" s="527">
        <f>((E536-E537-E538-E539-E540)+(E541+E542+E543+E544+E545+E546+E547+E548+E549))-((E550-E551-E552)+(E553+E554+E555))-((E556-E557-E558)+(E559+E560+E561))</f>
        <v>0</v>
      </c>
    </row>
    <row r="563" spans="1:5" x14ac:dyDescent="0.2">
      <c r="A563" s="528" t="s">
        <v>1036</v>
      </c>
      <c r="B563" s="528"/>
      <c r="C563" s="528"/>
      <c r="D563" s="528"/>
      <c r="E563" s="532">
        <f>E238+E265+E292+E319+E346+E373+E400+E427+E454+E481+E508+E535</f>
        <v>3598919</v>
      </c>
    </row>
    <row r="564" spans="1:5" ht="15" x14ac:dyDescent="0.25">
      <c r="A564" s="522" t="s">
        <v>1007</v>
      </c>
      <c r="B564" s="522" t="s">
        <v>991</v>
      </c>
      <c r="C564" s="522">
        <v>1000</v>
      </c>
      <c r="D564" s="522">
        <v>6300</v>
      </c>
      <c r="E564" s="530">
        <f>SUMIFS('Accounting data'!$G$2:$G$37000,'Accounting data'!$H$2:$H$37000,"11*",'Accounting data'!$J$2:$J$37000,"1*",'Accounting data'!$K$2:$K$37000,"63*")+SUMIFS('Accounting data'!$G$2:$G$37000,'Accounting data'!$H$2:$H$37000,"12*",'Accounting data'!$J$2:$J$37000,"1*",'Accounting data'!$K$2:$K$37000,"63*")+SUMIFS('Accounting data'!$G$2:$G$37000,'Accounting data'!$H$2:$H$37000,"13*",'Accounting data'!$J$2:$J$37000,"1*",'Accounting data'!$K$2:$K$37000,"63*")</f>
        <v>36640</v>
      </c>
    </row>
    <row r="565" spans="1:5" ht="15" x14ac:dyDescent="0.25">
      <c r="A565" s="522" t="s">
        <v>1007</v>
      </c>
      <c r="B565" s="522" t="s">
        <v>991</v>
      </c>
      <c r="C565" s="522">
        <v>2000</v>
      </c>
      <c r="D565" s="522">
        <v>6300</v>
      </c>
      <c r="E565" s="530">
        <f>SUMIFS('Accounting data'!$G$2:$G$37000,'Accounting data'!$H$2:$H$37000,"11*",'Accounting data'!$J$2:$J$37000,"2*",'Accounting data'!$K$2:$K$37000,"63*")+SUMIFS('Accounting data'!$G$2:$G$37000,'Accounting data'!$H$2:$H$37000,"12*",'Accounting data'!$J$2:$J$37000,"2*",'Accounting data'!$K$2:$K$37000,"63*")+SUMIFS('Accounting data'!$G$2:$G$37000,'Accounting data'!$H$2:$H$37000,"13*",'Accounting data'!$J$2:$J$37000,"2*",'Accounting data'!$K$2:$K$37000,"63*")</f>
        <v>0</v>
      </c>
    </row>
    <row r="566" spans="1:5" ht="15" x14ac:dyDescent="0.25">
      <c r="A566" s="522" t="s">
        <v>1007</v>
      </c>
      <c r="B566" s="522" t="s">
        <v>991</v>
      </c>
      <c r="C566" s="522">
        <v>3000</v>
      </c>
      <c r="D566" s="522">
        <v>6300</v>
      </c>
      <c r="E566" s="530">
        <f>SUMIFS('Accounting data'!$G$2:$G$37000,'Accounting data'!$H$2:$H$37000,"11*",'Accounting data'!$J$2:$J$37000,"3*",'Accounting data'!$K$2:$K$37000,"63*")+SUMIFS('Accounting data'!$G$2:$G$37000,'Accounting data'!$H$2:$H$37000,"12*",'Accounting data'!$J$2:$J$37000,"3*",'Accounting data'!$K$2:$K$37000,"63*")+SUMIFS('Accounting data'!$G$2:$G$37000,'Accounting data'!$H$2:$H$37000,"13*",'Accounting data'!$J$2:$J$37000,"3*",'Accounting data'!$K$2:$K$37000,"63*")</f>
        <v>0</v>
      </c>
    </row>
    <row r="567" spans="1:5" ht="15" x14ac:dyDescent="0.25">
      <c r="A567" s="522" t="s">
        <v>1007</v>
      </c>
      <c r="B567" s="524">
        <v>700</v>
      </c>
      <c r="C567" s="522">
        <v>1000</v>
      </c>
      <c r="D567" s="522">
        <v>6300</v>
      </c>
      <c r="E567" s="530">
        <f>SUMIFS('Accounting data'!$G$2:$G$37000,'Accounting data'!$H$2:$H$37000,"11*",'Accounting data'!$I$2:$I$37000,"7*",'Accounting data'!$J$2:$J$37000,"1*",'Accounting data'!$K$2:$K$37000,"63*")+SUMIFS('Accounting data'!$G$2:$G$37000,'Accounting data'!$H$2:$H$37000,"12*",'Accounting data'!$I$2:$I$37000,"7*",'Accounting data'!$J$2:$J$37000,"1*",'Accounting data'!$K$2:$K$37000,"63*")+SUMIFS('Accounting data'!$G$2:$G$37000,'Accounting data'!$H$2:$H$37000,"13*",'Accounting data'!$I$2:$I$37000,"7*",'Accounting data'!$J$2:$J$37000,"1*",'Accounting data'!$K$2:$K$37000,"63*")</f>
        <v>0</v>
      </c>
    </row>
    <row r="568" spans="1:5" ht="15" x14ac:dyDescent="0.25">
      <c r="A568" s="522" t="s">
        <v>1007</v>
      </c>
      <c r="B568" s="524">
        <v>800</v>
      </c>
      <c r="C568" s="522">
        <v>1000</v>
      </c>
      <c r="D568" s="522">
        <v>6300</v>
      </c>
      <c r="E568" s="530">
        <f>SUMIFS('Accounting data'!$G$2:$G$37000,'Accounting data'!$H$2:$H$37000,"11*",'Accounting data'!$I$2:$I$37000,"8*",'Accounting data'!$J$2:$J$37000,"1*",'Accounting data'!$K$2:$K$37000,"63*")+SUMIFS('Accounting data'!$G$2:$G$37000,'Accounting data'!$H$2:$H$37000,"12*",'Accounting data'!$I$2:$I$37000,"8*",'Accounting data'!$J$2:$J$37000,"1*",'Accounting data'!$K$2:$K$37000,"63*")+SUMIFS('Accounting data'!$G$2:$G$37000,'Accounting data'!$H$2:$H$37000,"13*",'Accounting data'!$I$2:$I$37000,"8*",'Accounting data'!$J$2:$J$37000,"1*",'Accounting data'!$K$2:$K$37000,"63*")</f>
        <v>0</v>
      </c>
    </row>
    <row r="569" spans="1:5" ht="15" x14ac:dyDescent="0.25">
      <c r="A569" s="522" t="s">
        <v>1007</v>
      </c>
      <c r="B569" s="524">
        <v>900</v>
      </c>
      <c r="C569" s="522">
        <v>1000</v>
      </c>
      <c r="D569" s="522">
        <v>6300</v>
      </c>
      <c r="E569" s="530">
        <f>SUMIFS('Accounting data'!$G$2:$G$37000,'Accounting data'!$H$2:$H$37000,"11*",'Accounting data'!$I$2:$I$37000,"9*",'Accounting data'!$J$2:$J$37000,"1*",'Accounting data'!$K$2:$K$37000,"63*")+SUMIFS('Accounting data'!$G$2:$G$37000,'Accounting data'!$H$2:$H$37000,"12*",'Accounting data'!$I$2:$I$37000,"9*",'Accounting data'!$J$2:$J$37000,"1*",'Accounting data'!$K$2:$K$37000,"63*")+SUMIFS('Accounting data'!$G$2:$G$37000,'Accounting data'!$H$2:$H$37000,"13*",'Accounting data'!$I$2:$I$37000,"9*",'Accounting data'!$J$2:$J$37000,"1*",'Accounting data'!$K$2:$K$37000,"63*")</f>
        <v>0</v>
      </c>
    </row>
    <row r="570" spans="1:5" x14ac:dyDescent="0.2">
      <c r="A570" s="522" t="s">
        <v>1007</v>
      </c>
      <c r="B570" s="524">
        <v>700</v>
      </c>
      <c r="C570" s="522">
        <v>2000</v>
      </c>
      <c r="D570" s="522">
        <v>6300</v>
      </c>
      <c r="E570" s="523">
        <f>SUMIFS('Accounting data'!$G$2:$G$37000,'Accounting data'!$H$2:$H$37000,"11*",'Accounting data'!$I$2:$I$37000,"7*",'Accounting data'!$J$2:$J$37000,"2*",'Accounting data'!$K$2:$K$37000,"63*")+SUMIFS('Accounting data'!$G$2:$G$37000,'Accounting data'!$H$2:$H$37000,"12*",'Accounting data'!$I$2:$I$37000,"7*",'Accounting data'!$J$2:$J$37000,"2*",'Accounting data'!$K$2:$K$37000,"63*")+SUMIFS('Accounting data'!$G$2:$G$37000,'Accounting data'!$H$2:$H$37000,"13*",'Accounting data'!$I$2:$I$37000,"7*",'Accounting data'!$J$2:$J$37000,"2*",'Accounting data'!$K$2:$K$37000,"63*")</f>
        <v>0</v>
      </c>
    </row>
    <row r="571" spans="1:5" x14ac:dyDescent="0.2">
      <c r="A571" s="522" t="s">
        <v>1007</v>
      </c>
      <c r="B571" s="524">
        <v>800</v>
      </c>
      <c r="C571" s="522">
        <v>2000</v>
      </c>
      <c r="D571" s="522">
        <v>6300</v>
      </c>
      <c r="E571" s="523">
        <f>SUMIFS('Accounting data'!$G$2:$G$37000,'Accounting data'!$H$2:$H$37000,"11*",'Accounting data'!$I$2:$I$37000,"8*",'Accounting data'!$J$2:$J$37000,"2*",'Accounting data'!$K$2:$K$37000,"63*")+SUMIFS('Accounting data'!$G$2:$G$37000,'Accounting data'!$H$2:$H$37000,"12*",'Accounting data'!$I$2:$I$37000,"8*",'Accounting data'!$J$2:$J$37000,"2*",'Accounting data'!$K$2:$K$37000,"63*")+SUMIFS('Accounting data'!$G$2:$G$37000,'Accounting data'!$H$2:$H$37000,"13*",'Accounting data'!$I$2:$I$37000,"8*",'Accounting data'!$J$2:$J$37000,"2*",'Accounting data'!$K$2:$K$37000,"63*")</f>
        <v>0</v>
      </c>
    </row>
    <row r="572" spans="1:5" x14ac:dyDescent="0.2">
      <c r="A572" s="522" t="s">
        <v>1007</v>
      </c>
      <c r="B572" s="524">
        <v>900</v>
      </c>
      <c r="C572" s="522">
        <v>2000</v>
      </c>
      <c r="D572" s="522">
        <v>6300</v>
      </c>
      <c r="E572" s="523">
        <f>SUMIFS('Accounting data'!$G$2:$G$37000,'Accounting data'!$H$2:$H$37000,"11*",'Accounting data'!$I$2:$I$37000,"9*",'Accounting data'!$J$2:$J$37000,"2*",'Accounting data'!$K$2:$K$37000,"63*")+SUMIFS('Accounting data'!$G$2:$G$37000,'Accounting data'!$H$2:$H$37000,"12*",'Accounting data'!$I$2:$I$37000,"9*",'Accounting data'!$J$2:$J$37000,"2*",'Accounting data'!$K$2:$K$37000,"63*")+SUMIFS('Accounting data'!$G$2:$G$37000,'Accounting data'!$H$2:$H$37000,"13*",'Accounting data'!$I$2:$I$37000,"9*",'Accounting data'!$J$2:$J$37000,"2*",'Accounting data'!$K$2:$K$37000,"63*")</f>
        <v>0</v>
      </c>
    </row>
    <row r="573" spans="1:5" x14ac:dyDescent="0.2">
      <c r="A573" s="522" t="s">
        <v>1007</v>
      </c>
      <c r="B573" s="524">
        <v>700</v>
      </c>
      <c r="C573" s="522">
        <v>3000</v>
      </c>
      <c r="D573" s="522">
        <v>6300</v>
      </c>
      <c r="E573" s="523">
        <f>SUMIFS('Accounting data'!$G$2:$G$37000,'Accounting data'!$H$2:$H$37000,"11*",'Accounting data'!$I$2:$I$37000,"7*",'Accounting data'!$J$2:$J$37000,"3*",'Accounting data'!$K$2:$K$37000,"63*")+SUMIFS('Accounting data'!$G$2:$G$37000,'Accounting data'!$H$2:$H$37000,"12*",'Accounting data'!$I$2:$I$37000,"7*",'Accounting data'!$J$2:$J$37000,"3*",'Accounting data'!$K$2:$K$37000,"63*")+SUMIFS('Accounting data'!$G$2:$G$37000,'Accounting data'!$H$2:$H$37000,"13*",'Accounting data'!$I$2:$I$37000,"7*",'Accounting data'!$J$2:$J$37000,"3*",'Accounting data'!$K$2:$K$37000,"63*")</f>
        <v>0</v>
      </c>
    </row>
    <row r="574" spans="1:5" x14ac:dyDescent="0.2">
      <c r="A574" s="522" t="s">
        <v>1007</v>
      </c>
      <c r="B574" s="524">
        <v>800</v>
      </c>
      <c r="C574" s="522">
        <v>3000</v>
      </c>
      <c r="D574" s="522">
        <v>6300</v>
      </c>
      <c r="E574" s="523">
        <f>SUMIFS('Accounting data'!$G$2:$G$37000,'Accounting data'!$H$2:$H$37000,"11*",'Accounting data'!$I$2:$I$37000,"8*",'Accounting data'!$J$2:$J$37000,"3*",'Accounting data'!$K$2:$K$37000,"63*")+SUMIFS('Accounting data'!$G$2:$G$37000,'Accounting data'!$H$2:$H$37000,"12*",'Accounting data'!$I$2:$I$37000,"8*",'Accounting data'!$J$2:$J$37000,"3*",'Accounting data'!$K$2:$K$37000,"63*")+SUMIFS('Accounting data'!$G$2:$G$37000,'Accounting data'!$H$2:$H$37000,"13*",'Accounting data'!$I$2:$I$37000,"8*",'Accounting data'!$J$2:$J$37000,"3*",'Accounting data'!$K$2:$K$37000,"63*")</f>
        <v>0</v>
      </c>
    </row>
    <row r="575" spans="1:5" x14ac:dyDescent="0.2">
      <c r="A575" s="522" t="s">
        <v>1007</v>
      </c>
      <c r="B575" s="524">
        <v>900</v>
      </c>
      <c r="C575" s="522">
        <v>3000</v>
      </c>
      <c r="D575" s="522">
        <v>6300</v>
      </c>
      <c r="E575" s="523">
        <f>SUMIFS('Accounting data'!$G$2:$G$37000,'Accounting data'!$H$2:$H$37000,"11*",'Accounting data'!$I$2:$I$37000,"9*",'Accounting data'!$J$2:$J$37000,"3*",'Accounting data'!$K$2:$K$37000,"63*")+SUMIFS('Accounting data'!$G$2:$G$37000,'Accounting data'!$H$2:$H$37000,"12*",'Accounting data'!$I$2:$I$37000,"9*",'Accounting data'!$J$2:$J$37000,"3*",'Accounting data'!$K$2:$K$37000,"63*")+SUMIFS('Accounting data'!$G$2:$G$37000,'Accounting data'!$H$2:$H$37000,"13*",'Accounting data'!$I$2:$I$37000,"9*",'Accounting data'!$J$2:$J$37000,"3*",'Accounting data'!$K$2:$K$37000,"63*")</f>
        <v>0</v>
      </c>
    </row>
    <row r="576" spans="1:5" x14ac:dyDescent="0.2">
      <c r="A576" s="525" t="s">
        <v>1037</v>
      </c>
      <c r="B576" s="525"/>
      <c r="C576" s="525"/>
      <c r="D576" s="525"/>
      <c r="E576" s="527">
        <f>(E564+E565+E566)-(E567+E568+E569+E570+E571+E572+E573+E574+E575)</f>
        <v>36640</v>
      </c>
    </row>
    <row r="577" spans="1:5" x14ac:dyDescent="0.2">
      <c r="A577" s="522" t="s">
        <v>1007</v>
      </c>
      <c r="B577" s="522" t="s">
        <v>991</v>
      </c>
      <c r="C577" s="522">
        <v>1000</v>
      </c>
      <c r="D577" s="522">
        <v>6400</v>
      </c>
      <c r="E577" s="523">
        <f>SUMIFS('Accounting data'!$G$2:$G$37000,'Accounting data'!$H$2:$H$37000,"11*",'Accounting data'!$J$2:$J$37000,"1*",'Accounting data'!$K$2:$K$37000,"64*")+SUMIFS('Accounting data'!$G$2:$G$37000,'Accounting data'!$H$2:$H$37000,"12*",'Accounting data'!$J$2:$J$37000,"1*",'Accounting data'!$K$2:$K$37000,"64*")+SUMIFS('Accounting data'!$G$2:$G$37000,'Accounting data'!$H$2:$H$37000,"13*",'Accounting data'!$J$2:$J$37000,"1*",'Accounting data'!$K$2:$K$37000,"64*")</f>
        <v>0</v>
      </c>
    </row>
    <row r="578" spans="1:5" x14ac:dyDescent="0.2">
      <c r="A578" s="522" t="s">
        <v>1007</v>
      </c>
      <c r="B578" s="522" t="s">
        <v>991</v>
      </c>
      <c r="C578" s="522">
        <v>2000</v>
      </c>
      <c r="D578" s="522">
        <v>6400</v>
      </c>
      <c r="E578" s="523">
        <f>SUMIFS('Accounting data'!$G$2:$G$37000,'Accounting data'!$H$2:$H$37000,"11*",'Accounting data'!$J$2:$J$37000,"2*",'Accounting data'!$K$2:$K$37000,"64*")+SUMIFS('Accounting data'!$G$2:$G$37000,'Accounting data'!$H$2:$H$37000,"12*",'Accounting data'!$J$2:$J$37000,"2*",'Accounting data'!$K$2:$K$37000,"64*")+SUMIFS('Accounting data'!$G$2:$G$37000,'Accounting data'!$H$2:$H$37000,"13*",'Accounting data'!$J$2:$J$37000,"2*",'Accounting data'!$K$2:$K$37000,"64*")</f>
        <v>0</v>
      </c>
    </row>
    <row r="579" spans="1:5" x14ac:dyDescent="0.2">
      <c r="A579" s="522" t="s">
        <v>1007</v>
      </c>
      <c r="B579" s="522" t="s">
        <v>991</v>
      </c>
      <c r="C579" s="522">
        <v>3000</v>
      </c>
      <c r="D579" s="522">
        <v>6400</v>
      </c>
      <c r="E579" s="523">
        <f>SUMIFS('Accounting data'!$G$2:$G$37000,'Accounting data'!$H$2:$H$37000,"11*",'Accounting data'!$J$2:$J$37000,"3*",'Accounting data'!$K$2:$K$37000,"64*")+SUMIFS('Accounting data'!$G$2:$G$37000,'Accounting data'!$H$2:$H$37000,"12*",'Accounting data'!$J$2:$J$37000,"3*",'Accounting data'!$K$2:$K$37000,"64*")+SUMIFS('Accounting data'!$G$2:$G$37000,'Accounting data'!$H$2:$H$37000,"13*",'Accounting data'!$J$2:$J$37000,"3*",'Accounting data'!$K$2:$K$37000,"64*")</f>
        <v>0</v>
      </c>
    </row>
    <row r="580" spans="1:5" x14ac:dyDescent="0.2">
      <c r="A580" s="522" t="s">
        <v>1007</v>
      </c>
      <c r="B580" s="524">
        <v>700</v>
      </c>
      <c r="C580" s="522">
        <v>1000</v>
      </c>
      <c r="D580" s="522">
        <v>6400</v>
      </c>
      <c r="E580" s="523">
        <f>SUMIFS('Accounting data'!$G$2:$G$37000,'Accounting data'!$H$2:$H$37000,"11*",'Accounting data'!$I$2:$I$37000,"7*",'Accounting data'!$J$2:$J$37000,"1*",'Accounting data'!$K$2:$K$37000,"64*")+SUMIFS('Accounting data'!$G$2:$G$37000,'Accounting data'!$H$2:$H$37000,"12*",'Accounting data'!$I$2:$I$37000,"7*",'Accounting data'!$J$2:$J$37000,"1*",'Accounting data'!$K$2:$K$37000,"64*")+SUMIFS('Accounting data'!$G$2:$G$37000,'Accounting data'!$H$2:$H$37000,"13*",'Accounting data'!$I$2:$I$37000,"7*",'Accounting data'!$J$2:$J$37000,"1*",'Accounting data'!$K$2:$K$37000,"64*")</f>
        <v>0</v>
      </c>
    </row>
    <row r="581" spans="1:5" x14ac:dyDescent="0.2">
      <c r="A581" s="522" t="s">
        <v>1007</v>
      </c>
      <c r="B581" s="524">
        <v>800</v>
      </c>
      <c r="C581" s="522">
        <v>1000</v>
      </c>
      <c r="D581" s="522">
        <v>6400</v>
      </c>
      <c r="E581" s="523">
        <f>SUMIFS('Accounting data'!$G$2:$G$37000,'Accounting data'!$H$2:$H$37000,"11*",'Accounting data'!$I$2:$I$37000,"8*",'Accounting data'!$J$2:$J$37000,"1*",'Accounting data'!$K$2:$K$37000,"64*")+SUMIFS('Accounting data'!$G$2:$G$37000,'Accounting data'!$H$2:$H$37000,"12*",'Accounting data'!$I$2:$I$37000,"8*",'Accounting data'!$J$2:$J$37000,"1*",'Accounting data'!$K$2:$K$37000,"64*")+SUMIFS('Accounting data'!$G$2:$G$37000,'Accounting data'!$H$2:$H$37000,"13*",'Accounting data'!$I$2:$I$37000,"8*",'Accounting data'!$J$2:$J$37000,"1*",'Accounting data'!$K$2:$K$37000,"64*")</f>
        <v>0</v>
      </c>
    </row>
    <row r="582" spans="1:5" x14ac:dyDescent="0.2">
      <c r="A582" s="522" t="s">
        <v>1007</v>
      </c>
      <c r="B582" s="524">
        <v>900</v>
      </c>
      <c r="C582" s="522">
        <v>1000</v>
      </c>
      <c r="D582" s="522">
        <v>6400</v>
      </c>
      <c r="E582" s="523">
        <f>SUMIFS('Accounting data'!$G$2:$G$37000,'Accounting data'!$H$2:$H$37000,"11*",'Accounting data'!$I$2:$I$37000,"9*",'Accounting data'!$J$2:$J$37000,"1*",'Accounting data'!$K$2:$K$37000,"64*")+SUMIFS('Accounting data'!$G$2:$G$37000,'Accounting data'!$H$2:$H$37000,"12*",'Accounting data'!$I$2:$I$37000,"9*",'Accounting data'!$J$2:$J$37000,"1*",'Accounting data'!$K$2:$K$37000,"64*")+SUMIFS('Accounting data'!$G$2:$G$37000,'Accounting data'!$H$2:$H$37000,"13*",'Accounting data'!$I$2:$I$37000,"9*",'Accounting data'!$J$2:$J$37000,"1*",'Accounting data'!$K$2:$K$37000,"64*")</f>
        <v>0</v>
      </c>
    </row>
    <row r="583" spans="1:5" x14ac:dyDescent="0.2">
      <c r="A583" s="522" t="s">
        <v>1007</v>
      </c>
      <c r="B583" s="524">
        <v>700</v>
      </c>
      <c r="C583" s="522">
        <v>2000</v>
      </c>
      <c r="D583" s="522">
        <v>6400</v>
      </c>
      <c r="E583" s="523">
        <f>SUMIFS('Accounting data'!$G$2:$G$37000,'Accounting data'!$H$2:$H$37000,"11*",'Accounting data'!$I$2:$I$37000,"7*",'Accounting data'!$J$2:$J$37000,"2*",'Accounting data'!$K$2:$K$37000,"64*")+SUMIFS('Accounting data'!$G$2:$G$37000,'Accounting data'!$H$2:$H$37000,"12*",'Accounting data'!$I$2:$I$37000,"7*",'Accounting data'!$J$2:$J$37000,"2*",'Accounting data'!$K$2:$K$37000,"64*")+SUMIFS('Accounting data'!$G$2:$G$37000,'Accounting data'!$H$2:$H$37000,"13*",'Accounting data'!$I$2:$I$37000,"7*",'Accounting data'!$J$2:$J$37000,"2*",'Accounting data'!$K$2:$K$37000,"64*")</f>
        <v>0</v>
      </c>
    </row>
    <row r="584" spans="1:5" x14ac:dyDescent="0.2">
      <c r="A584" s="522" t="s">
        <v>1007</v>
      </c>
      <c r="B584" s="524">
        <v>800</v>
      </c>
      <c r="C584" s="522">
        <v>2000</v>
      </c>
      <c r="D584" s="522">
        <v>6400</v>
      </c>
      <c r="E584" s="523">
        <f>SUMIFS('Accounting data'!$G$2:$G$37000,'Accounting data'!$H$2:$H$37000,"11*",'Accounting data'!$I$2:$I$37000,"8*",'Accounting data'!$J$2:$J$37000,"2*",'Accounting data'!$K$2:$K$37000,"64*")+SUMIFS('Accounting data'!$G$2:$G$37000,'Accounting data'!$H$2:$H$37000,"12*",'Accounting data'!$I$2:$I$37000,"8*",'Accounting data'!$J$2:$J$37000,"2*",'Accounting data'!$K$2:$K$37000,"64*")+SUMIFS('Accounting data'!$G$2:$G$37000,'Accounting data'!$H$2:$H$37000,"13*",'Accounting data'!$I$2:$I$37000,"8*",'Accounting data'!$J$2:$J$37000,"2*",'Accounting data'!$K$2:$K$37000,"64*")</f>
        <v>0</v>
      </c>
    </row>
    <row r="585" spans="1:5" x14ac:dyDescent="0.2">
      <c r="A585" s="522" t="s">
        <v>1007</v>
      </c>
      <c r="B585" s="524">
        <v>900</v>
      </c>
      <c r="C585" s="522">
        <v>2000</v>
      </c>
      <c r="D585" s="522">
        <v>6400</v>
      </c>
      <c r="E585" s="523">
        <f>SUMIFS('Accounting data'!$G$2:$G$37000,'Accounting data'!$H$2:$H$37000,"11*",'Accounting data'!$I$2:$I$37000,"9*",'Accounting data'!$J$2:$J$37000,"2*",'Accounting data'!$K$2:$K$37000,"64*")+SUMIFS('Accounting data'!$G$2:$G$37000,'Accounting data'!$H$2:$H$37000,"12*",'Accounting data'!$I$2:$I$37000,"9*",'Accounting data'!$J$2:$J$37000,"2*",'Accounting data'!$K$2:$K$37000,"64*")+SUMIFS('Accounting data'!$G$2:$G$37000,'Accounting data'!$H$2:$H$37000,"13*",'Accounting data'!$I$2:$I$37000,"9*",'Accounting data'!$J$2:$J$37000,"2*",'Accounting data'!$K$2:$K$37000,"64*")</f>
        <v>0</v>
      </c>
    </row>
    <row r="586" spans="1:5" x14ac:dyDescent="0.2">
      <c r="A586" s="522" t="s">
        <v>1007</v>
      </c>
      <c r="B586" s="524">
        <v>700</v>
      </c>
      <c r="C586" s="522">
        <v>3000</v>
      </c>
      <c r="D586" s="522">
        <v>6400</v>
      </c>
      <c r="E586" s="523">
        <f>SUMIFS('Accounting data'!$G$2:$G$37000,'Accounting data'!$H$2:$H$37000,"11*",'Accounting data'!$I$2:$I$37000,"7*",'Accounting data'!$J$2:$J$37000,"3*",'Accounting data'!$K$2:$K$37000,"64*")+SUMIFS('Accounting data'!$G$2:$G$37000,'Accounting data'!$H$2:$H$37000,"12*",'Accounting data'!$I$2:$I$37000,"7*",'Accounting data'!$J$2:$J$37000,"3*",'Accounting data'!$K$2:$K$37000,"64*")+SUMIFS('Accounting data'!$G$2:$G$37000,'Accounting data'!$H$2:$H$37000,"13*",'Accounting data'!$I$2:$I$37000,"7*",'Accounting data'!$J$2:$J$37000,"3*",'Accounting data'!$K$2:$K$37000,"64*")</f>
        <v>0</v>
      </c>
    </row>
    <row r="587" spans="1:5" x14ac:dyDescent="0.2">
      <c r="A587" s="522" t="s">
        <v>1007</v>
      </c>
      <c r="B587" s="524">
        <v>800</v>
      </c>
      <c r="C587" s="522">
        <v>3000</v>
      </c>
      <c r="D587" s="522">
        <v>6400</v>
      </c>
      <c r="E587" s="523">
        <f>SUMIFS('Accounting data'!$G$2:$G$37000,'Accounting data'!$H$2:$H$37000,"11*",'Accounting data'!$I$2:$I$37000,"8*",'Accounting data'!$J$2:$J$37000,"3*",'Accounting data'!$K$2:$K$37000,"64*")+SUMIFS('Accounting data'!$G$2:$G$37000,'Accounting data'!$H$2:$H$37000,"12*",'Accounting data'!$I$2:$I$37000,"8*",'Accounting data'!$J$2:$J$37000,"3*",'Accounting data'!$K$2:$K$37000,"64*")+SUMIFS('Accounting data'!$G$2:$G$37000,'Accounting data'!$H$2:$H$37000,"13*",'Accounting data'!$I$2:$I$37000,"8*",'Accounting data'!$J$2:$J$37000,"3*",'Accounting data'!$K$2:$K$37000,"64*")</f>
        <v>0</v>
      </c>
    </row>
    <row r="588" spans="1:5" x14ac:dyDescent="0.2">
      <c r="A588" s="522" t="s">
        <v>1007</v>
      </c>
      <c r="B588" s="524">
        <v>900</v>
      </c>
      <c r="C588" s="522">
        <v>3000</v>
      </c>
      <c r="D588" s="522">
        <v>6400</v>
      </c>
      <c r="E588" s="523">
        <f>SUMIFS('Accounting data'!$G$2:$G$37000,'Accounting data'!$H$2:$H$37000,"11*",'Accounting data'!$I$2:$I$37000,"9*",'Accounting data'!$J$2:$J$37000,"3*",'Accounting data'!$K$2:$K$37000,"64*")+SUMIFS('Accounting data'!$G$2:$G$37000,'Accounting data'!$H$2:$H$37000,"12*",'Accounting data'!$I$2:$I$37000,"9*",'Accounting data'!$J$2:$J$37000,"3*",'Accounting data'!$K$2:$K$37000,"64*")+SUMIFS('Accounting data'!$G$2:$G$37000,'Accounting data'!$H$2:$H$37000,"13*",'Accounting data'!$I$2:$I$37000,"9*",'Accounting data'!$J$2:$J$37000,"3*",'Accounting data'!$K$2:$K$37000,"64*")</f>
        <v>0</v>
      </c>
    </row>
    <row r="589" spans="1:5" x14ac:dyDescent="0.2">
      <c r="A589" s="525" t="s">
        <v>1038</v>
      </c>
      <c r="B589" s="525"/>
      <c r="C589" s="525"/>
      <c r="D589" s="525"/>
      <c r="E589" s="527">
        <f>(E577+E578+E579)-(E580+E581+E582+E583+E584+E585+E586+E587+E588)</f>
        <v>0</v>
      </c>
    </row>
    <row r="590" spans="1:5" x14ac:dyDescent="0.2">
      <c r="A590" s="522" t="s">
        <v>1007</v>
      </c>
      <c r="B590" s="522" t="s">
        <v>991</v>
      </c>
      <c r="C590" s="522">
        <v>1000</v>
      </c>
      <c r="D590" s="522">
        <v>6500</v>
      </c>
      <c r="E590" s="523">
        <f>SUMIFS('Accounting data'!$G$2:$G$37000,'Accounting data'!$H$2:$H$37000,"11*",'Accounting data'!$J$2:$J$37000,"1*",'Accounting data'!$K$2:$K$37000,"65*")+SUMIFS('Accounting data'!$G$2:$G$37000,'Accounting data'!$H$2:$H$37000,"12*",'Accounting data'!$J$2:$J$37000,"1*",'Accounting data'!$K$2:$K$37000,"65*")+SUMIFS('Accounting data'!$G$2:$G$37000,'Accounting data'!$H$2:$H$37000,"13*",'Accounting data'!$J$2:$J$37000,"1*",'Accounting data'!$K$2:$K$37000,"65*")</f>
        <v>0</v>
      </c>
    </row>
    <row r="591" spans="1:5" x14ac:dyDescent="0.2">
      <c r="A591" s="522" t="s">
        <v>1007</v>
      </c>
      <c r="B591" s="522" t="s">
        <v>991</v>
      </c>
      <c r="C591" s="522">
        <v>2000</v>
      </c>
      <c r="D591" s="522">
        <v>6500</v>
      </c>
      <c r="E591" s="523">
        <f>SUMIFS('Accounting data'!$G$2:$G$37000,'Accounting data'!$H$2:$H$37000,"11*",'Accounting data'!$J$2:$J$37000,"2*",'Accounting data'!$K$2:$K$37000,"65*")+SUMIFS('Accounting data'!$G$2:$G$37000,'Accounting data'!$H$2:$H$37000,"12*",'Accounting data'!$J$2:$J$37000,"2*",'Accounting data'!$K$2:$K$37000,"65*")+SUMIFS('Accounting data'!$G$2:$G$37000,'Accounting data'!$H$2:$H$37000,"13*",'Accounting data'!$J$2:$J$37000,"2*",'Accounting data'!$K$2:$K$37000,"65*")</f>
        <v>0</v>
      </c>
    </row>
    <row r="592" spans="1:5" x14ac:dyDescent="0.2">
      <c r="A592" s="522" t="s">
        <v>1007</v>
      </c>
      <c r="B592" s="522" t="s">
        <v>991</v>
      </c>
      <c r="C592" s="522">
        <v>3000</v>
      </c>
      <c r="D592" s="522">
        <v>6500</v>
      </c>
      <c r="E592" s="523">
        <f>SUMIFS('Accounting data'!$G$2:$G$37000,'Accounting data'!$H$2:$H$37000,"11*",'Accounting data'!$J$2:$J$37000,"3*",'Accounting data'!$K$2:$K$37000,"65*")+SUMIFS('Accounting data'!$G$2:$G$37000,'Accounting data'!$H$2:$H$37000,"12*",'Accounting data'!$J$2:$J$37000,"3*",'Accounting data'!$K$2:$K$37000,"65*")+SUMIFS('Accounting data'!$G$2:$G$37000,'Accounting data'!$H$2:$H$37000,"13*",'Accounting data'!$J$2:$J$37000,"3*",'Accounting data'!$K$2:$K$37000,"65*")</f>
        <v>0</v>
      </c>
    </row>
    <row r="593" spans="1:5" x14ac:dyDescent="0.2">
      <c r="A593" s="522" t="s">
        <v>1007</v>
      </c>
      <c r="B593" s="524">
        <v>700</v>
      </c>
      <c r="C593" s="522">
        <v>1000</v>
      </c>
      <c r="D593" s="522">
        <v>6500</v>
      </c>
      <c r="E593" s="523">
        <f>SUMIFS('Accounting data'!$G$2:$G$37000,'Accounting data'!$H$2:$H$37000,"11*",'Accounting data'!$I$2:$I$37000,"7*",'Accounting data'!$J$2:$J$37000,"1*",'Accounting data'!$K$2:$K$37000,"65*")+SUMIFS('Accounting data'!$G$2:$G$37000,'Accounting data'!$H$2:$H$37000,"12*",'Accounting data'!$I$2:$I$37000,"7*",'Accounting data'!$J$2:$J$37000,"1*",'Accounting data'!$K$2:$K$37000,"65*")+SUMIFS('Accounting data'!$G$2:$G$37000,'Accounting data'!$H$2:$H$37000,"13*",'Accounting data'!$I$2:$I$37000,"7*",'Accounting data'!$J$2:$J$37000,"1*",'Accounting data'!$K$2:$K$37000,"65*")</f>
        <v>0</v>
      </c>
    </row>
    <row r="594" spans="1:5" x14ac:dyDescent="0.2">
      <c r="A594" s="522" t="s">
        <v>1007</v>
      </c>
      <c r="B594" s="524">
        <v>800</v>
      </c>
      <c r="C594" s="522">
        <v>1000</v>
      </c>
      <c r="D594" s="522">
        <v>6500</v>
      </c>
      <c r="E594" s="523">
        <f>SUMIFS('Accounting data'!$G$2:$G$37000,'Accounting data'!$H$2:$H$37000,"11*",'Accounting data'!$I$2:$I$37000,"8*",'Accounting data'!$J$2:$J$37000,"1*",'Accounting data'!$K$2:$K$37000,"65*")+SUMIFS('Accounting data'!$G$2:$G$37000,'Accounting data'!$H$2:$H$37000,"12*",'Accounting data'!$I$2:$I$37000,"8*",'Accounting data'!$J$2:$J$37000,"1*",'Accounting data'!$K$2:$K$37000,"65*")+SUMIFS('Accounting data'!$G$2:$G$37000,'Accounting data'!$H$2:$H$37000,"13*",'Accounting data'!$I$2:$I$37000,"8*",'Accounting data'!$J$2:$J$37000,"1*",'Accounting data'!$K$2:$K$37000,"65*")</f>
        <v>0</v>
      </c>
    </row>
    <row r="595" spans="1:5" x14ac:dyDescent="0.2">
      <c r="A595" s="522" t="s">
        <v>1007</v>
      </c>
      <c r="B595" s="524">
        <v>900</v>
      </c>
      <c r="C595" s="522">
        <v>1000</v>
      </c>
      <c r="D595" s="522">
        <v>6500</v>
      </c>
      <c r="E595" s="523">
        <f>SUMIFS('Accounting data'!$G$2:$G$37000,'Accounting data'!$H$2:$H$37000,"11*",'Accounting data'!$I$2:$I$37000,"9*",'Accounting data'!$J$2:$J$37000,"1*",'Accounting data'!$K$2:$K$37000,"65*")+SUMIFS('Accounting data'!$G$2:$G$37000,'Accounting data'!$H$2:$H$37000,"12*",'Accounting data'!$I$2:$I$37000,"9*",'Accounting data'!$J$2:$J$37000,"1*",'Accounting data'!$K$2:$K$37000,"65*")+SUMIFS('Accounting data'!$G$2:$G$37000,'Accounting data'!$H$2:$H$37000,"13*",'Accounting data'!$I$2:$I$37000,"9*",'Accounting data'!$J$2:$J$37000,"1*",'Accounting data'!$K$2:$K$37000,"65*")</f>
        <v>0</v>
      </c>
    </row>
    <row r="596" spans="1:5" x14ac:dyDescent="0.2">
      <c r="A596" s="522" t="s">
        <v>1007</v>
      </c>
      <c r="B596" s="524">
        <v>700</v>
      </c>
      <c r="C596" s="522">
        <v>2000</v>
      </c>
      <c r="D596" s="522">
        <v>6500</v>
      </c>
      <c r="E596" s="523">
        <f>SUMIFS('Accounting data'!$G$2:$G$37000,'Accounting data'!$H$2:$H$37000,"11*",'Accounting data'!$I$2:$I$37000,"7*",'Accounting data'!$J$2:$J$37000,"2*",'Accounting data'!$K$2:$K$37000,"65*")+SUMIFS('Accounting data'!$G$2:$G$37000,'Accounting data'!$H$2:$H$37000,"12*",'Accounting data'!$I$2:$I$37000,"7*",'Accounting data'!$J$2:$J$37000,"2*",'Accounting data'!$K$2:$K$37000,"65*")+SUMIFS('Accounting data'!$G$2:$G$37000,'Accounting data'!$H$2:$H$37000,"13*",'Accounting data'!$I$2:$I$37000,"7*",'Accounting data'!$J$2:$J$37000,"2*",'Accounting data'!$K$2:$K$37000,"65*")</f>
        <v>0</v>
      </c>
    </row>
    <row r="597" spans="1:5" x14ac:dyDescent="0.2">
      <c r="A597" s="522" t="s">
        <v>1007</v>
      </c>
      <c r="B597" s="524">
        <v>800</v>
      </c>
      <c r="C597" s="522">
        <v>2000</v>
      </c>
      <c r="D597" s="522">
        <v>6500</v>
      </c>
      <c r="E597" s="523">
        <f>SUMIFS('Accounting data'!$G$2:$G$37000,'Accounting data'!$H$2:$H$37000,"11*",'Accounting data'!$I$2:$I$37000,"8*",'Accounting data'!$J$2:$J$37000,"2*",'Accounting data'!$K$2:$K$37000,"65*")+SUMIFS('Accounting data'!$G$2:$G$37000,'Accounting data'!$H$2:$H$37000,"12*",'Accounting data'!$I$2:$I$37000,"8*",'Accounting data'!$J$2:$J$37000,"2*",'Accounting data'!$K$2:$K$37000,"65*")+SUMIFS('Accounting data'!$G$2:$G$37000,'Accounting data'!$H$2:$H$37000,"13*",'Accounting data'!$I$2:$I$37000,"8*",'Accounting data'!$J$2:$J$37000,"2*",'Accounting data'!$K$2:$K$37000,"65*")</f>
        <v>0</v>
      </c>
    </row>
    <row r="598" spans="1:5" x14ac:dyDescent="0.2">
      <c r="A598" s="522" t="s">
        <v>1007</v>
      </c>
      <c r="B598" s="524">
        <v>900</v>
      </c>
      <c r="C598" s="522">
        <v>2000</v>
      </c>
      <c r="D598" s="522">
        <v>6500</v>
      </c>
      <c r="E598" s="523">
        <f>SUMIFS('Accounting data'!$G$2:$G$37000,'Accounting data'!$H$2:$H$37000,"11*",'Accounting data'!$I$2:$I$37000,"9*",'Accounting data'!$J$2:$J$37000,"2*",'Accounting data'!$K$2:$K$37000,"65*")+SUMIFS('Accounting data'!$G$2:$G$37000,'Accounting data'!$H$2:$H$37000,"12*",'Accounting data'!$I$2:$I$37000,"9*",'Accounting data'!$J$2:$J$37000,"2*",'Accounting data'!$K$2:$K$37000,"65*")+SUMIFS('Accounting data'!$G$2:$G$37000,'Accounting data'!$H$2:$H$37000,"13*",'Accounting data'!$I$2:$I$37000,"9*",'Accounting data'!$J$2:$J$37000,"2*",'Accounting data'!$K$2:$K$37000,"65*")</f>
        <v>0</v>
      </c>
    </row>
    <row r="599" spans="1:5" x14ac:dyDescent="0.2">
      <c r="A599" s="522" t="s">
        <v>1007</v>
      </c>
      <c r="B599" s="524">
        <v>700</v>
      </c>
      <c r="C599" s="522">
        <v>3000</v>
      </c>
      <c r="D599" s="522">
        <v>6500</v>
      </c>
      <c r="E599" s="523">
        <f>SUMIFS('Accounting data'!$G$2:$G$37000,'Accounting data'!$H$2:$H$37000,"11*",'Accounting data'!$I$2:$I$37000,"7*",'Accounting data'!$J$2:$J$37000,"3*",'Accounting data'!$K$2:$K$37000,"65*")+SUMIFS('Accounting data'!$G$2:$G$37000,'Accounting data'!$H$2:$H$37000,"12*",'Accounting data'!$I$2:$I$37000,"7*",'Accounting data'!$J$2:$J$37000,"3*",'Accounting data'!$K$2:$K$37000,"65*")+SUMIFS('Accounting data'!$G$2:$G$37000,'Accounting data'!$H$2:$H$37000,"13*",'Accounting data'!$I$2:$I$37000,"7*",'Accounting data'!$J$2:$J$37000,"3*",'Accounting data'!$K$2:$K$37000,"65*")</f>
        <v>0</v>
      </c>
    </row>
    <row r="600" spans="1:5" x14ac:dyDescent="0.2">
      <c r="A600" s="522" t="s">
        <v>1007</v>
      </c>
      <c r="B600" s="524">
        <v>800</v>
      </c>
      <c r="C600" s="522">
        <v>3000</v>
      </c>
      <c r="D600" s="522">
        <v>6500</v>
      </c>
      <c r="E600" s="523">
        <f>SUMIFS('Accounting data'!$G$2:$G$37000,'Accounting data'!$H$2:$H$37000,"11*",'Accounting data'!$I$2:$I$37000,"8*",'Accounting data'!$J$2:$J$37000,"3*",'Accounting data'!$K$2:$K$37000,"65*")+SUMIFS('Accounting data'!$G$2:$G$37000,'Accounting data'!$H$2:$H$37000,"12*",'Accounting data'!$I$2:$I$37000,"8*",'Accounting data'!$J$2:$J$37000,"3*",'Accounting data'!$K$2:$K$37000,"65*")+SUMIFS('Accounting data'!$G$2:$G$37000,'Accounting data'!$H$2:$H$37000,"13*",'Accounting data'!$I$2:$I$37000,"8*",'Accounting data'!$J$2:$J$37000,"3*",'Accounting data'!$K$2:$K$37000,"65*")</f>
        <v>0</v>
      </c>
    </row>
    <row r="601" spans="1:5" x14ac:dyDescent="0.2">
      <c r="A601" s="522" t="s">
        <v>1007</v>
      </c>
      <c r="B601" s="524">
        <v>900</v>
      </c>
      <c r="C601" s="522">
        <v>3000</v>
      </c>
      <c r="D601" s="522">
        <v>6500</v>
      </c>
      <c r="E601" s="523">
        <f>SUMIFS('Accounting data'!$G$2:$G$37000,'Accounting data'!$H$2:$H$37000,"11*",'Accounting data'!$I$2:$I$37000,"9*",'Accounting data'!$J$2:$J$37000,"3*",'Accounting data'!$K$2:$K$37000,"65*")+SUMIFS('Accounting data'!$G$2:$G$37000,'Accounting data'!$H$2:$H$37000,"12*",'Accounting data'!$I$2:$I$37000,"9*",'Accounting data'!$J$2:$J$37000,"3*",'Accounting data'!$K$2:$K$37000,"65*")+SUMIFS('Accounting data'!$G$2:$G$37000,'Accounting data'!$H$2:$H$37000,"13*",'Accounting data'!$I$2:$I$37000,"9*",'Accounting data'!$J$2:$J$37000,"3*",'Accounting data'!$K$2:$K$37000,"65*")</f>
        <v>0</v>
      </c>
    </row>
    <row r="602" spans="1:5" x14ac:dyDescent="0.2">
      <c r="A602" s="525" t="s">
        <v>1039</v>
      </c>
      <c r="B602" s="525"/>
      <c r="C602" s="525"/>
      <c r="D602" s="525"/>
      <c r="E602" s="527">
        <f>(E590+E591+E592)-(E593+E594+E595+E596+E597+E598+E599+E600+E601)</f>
        <v>0</v>
      </c>
    </row>
    <row r="629" spans="1:5" x14ac:dyDescent="0.2">
      <c r="A629" s="528" t="s">
        <v>1040</v>
      </c>
      <c r="B629" s="528"/>
      <c r="C629" s="528"/>
      <c r="D629" s="528"/>
      <c r="E629" s="532">
        <f>(E576+E589+E602)-(E615+E628)</f>
        <v>36640</v>
      </c>
    </row>
    <row r="630" spans="1:5" x14ac:dyDescent="0.2">
      <c r="A630" s="522" t="s">
        <v>991</v>
      </c>
      <c r="B630" s="522" t="s">
        <v>991</v>
      </c>
      <c r="C630" s="522">
        <v>1000</v>
      </c>
      <c r="D630" s="522">
        <v>6600</v>
      </c>
      <c r="E630" s="523">
        <f>SUMIFS('Accounting data'!$G$2:$G$37000,'Accounting data'!$J$2:$J$37000,"1*",'Accounting data'!$K$2:$K$37000,"66*")</f>
        <v>116389</v>
      </c>
    </row>
    <row r="631" spans="1:5" x14ac:dyDescent="0.2">
      <c r="A631" s="522" t="s">
        <v>992</v>
      </c>
      <c r="B631" s="522" t="s">
        <v>991</v>
      </c>
      <c r="C631" s="522">
        <v>1000</v>
      </c>
      <c r="D631" s="522">
        <v>6600</v>
      </c>
      <c r="E631" s="523">
        <f>SUMIFS('Accounting data'!$G$2:$G$37000,'Accounting data'!$H$2:$H$37000,"9999*",'Accounting data'!$J$2:$J$37000,"1*",'Accounting data'!$K$2:$K$37000,"66*")</f>
        <v>0</v>
      </c>
    </row>
    <row r="632" spans="1:5" x14ac:dyDescent="0.2">
      <c r="A632" s="522" t="s">
        <v>991</v>
      </c>
      <c r="B632" s="522" t="s">
        <v>993</v>
      </c>
      <c r="C632" s="522">
        <v>1000</v>
      </c>
      <c r="D632" s="522">
        <v>6600</v>
      </c>
      <c r="E632" s="523">
        <f>SUMIFS('Accounting data'!$G$2:$G$37000,'Accounting data'!$I$2:$I$37000,"7*",'Accounting data'!$J$2:$J$37000,"1*",'Accounting data'!$K$2:$K$37000,"66*")+SUMIFS('Accounting data'!$G$2:$G$37000,'Accounting data'!$I$2:$I$37000,"8*",'Accounting data'!$J$2:$J$37000,"1*",'Accounting data'!$K$2:$K$37000,"66*")+SUMIFS('Accounting data'!$G$2:$G$37000,'Accounting data'!$I$2:$I$37000,"9*",'Accounting data'!$J$2:$J$37000,"1*",'Accounting data'!$K$2:$K$37000,"66*")</f>
        <v>0</v>
      </c>
    </row>
    <row r="633" spans="1:5" x14ac:dyDescent="0.2">
      <c r="A633" s="524" t="s">
        <v>992</v>
      </c>
      <c r="B633" s="522" t="s">
        <v>993</v>
      </c>
      <c r="C633" s="522">
        <v>1000</v>
      </c>
      <c r="D633" s="522">
        <v>6600</v>
      </c>
      <c r="E633" s="523">
        <f>SUMIFS('Accounting data'!$G$2:$G$37000,'Accounting data'!$H$2:$H$37000,"9999*",'Accounting data'!$I$2:$I$37000,"7*",'Accounting data'!$J$2:$J$37000,"1*",'Accounting data'!$K$2:$K$37000,"66*")+SUMIFS('Accounting data'!$G$2:$G$37000,'Accounting data'!$H$2:$H$37000,"9999*",'Accounting data'!$I$2:$I$37000,"8*",'Accounting data'!$J$2:$J$37000,"1*",'Accounting data'!$K$2:$K$37000,"66*")+SUMIFS('Accounting data'!$G$2:$G$37000,'Accounting data'!$H$2:$H$37000,"9999*",'Accounting data'!$I$2:$I$37000,"9*",'Accounting data'!$J$2:$J$37000,"1*",'Accounting data'!$K$2:$K$37000,"66*")</f>
        <v>0</v>
      </c>
    </row>
    <row r="634" spans="1:5" x14ac:dyDescent="0.2">
      <c r="A634" s="522"/>
      <c r="B634" s="522"/>
      <c r="C634" s="522"/>
      <c r="D634" s="522"/>
      <c r="E634" s="523"/>
    </row>
    <row r="635" spans="1:5" x14ac:dyDescent="0.2">
      <c r="A635" s="522"/>
      <c r="B635" s="522"/>
      <c r="C635" s="522"/>
      <c r="D635" s="522"/>
      <c r="E635" s="523"/>
    </row>
    <row r="636" spans="1:5" x14ac:dyDescent="0.2">
      <c r="A636" s="525" t="s">
        <v>1041</v>
      </c>
      <c r="B636" s="525"/>
      <c r="C636" s="525"/>
      <c r="D636" s="525"/>
      <c r="E636" s="527">
        <f>(E630-E631-E632)+(E633+E634+E635)</f>
        <v>116389</v>
      </c>
    </row>
    <row r="637" spans="1:5" x14ac:dyDescent="0.2">
      <c r="A637" s="522" t="s">
        <v>991</v>
      </c>
      <c r="B637" s="522" t="s">
        <v>991</v>
      </c>
      <c r="C637" s="522">
        <v>2100</v>
      </c>
      <c r="D637" s="522">
        <v>6600</v>
      </c>
      <c r="E637" s="523">
        <f>SUMIFS('Accounting data'!$G$2:$G$37000,'Accounting data'!$J$2:$J$37000,"21*",'Accounting data'!$K$2:$K$37000,"66*")</f>
        <v>8844</v>
      </c>
    </row>
    <row r="638" spans="1:5" x14ac:dyDescent="0.2">
      <c r="A638" s="522" t="s">
        <v>992</v>
      </c>
      <c r="B638" s="522" t="s">
        <v>991</v>
      </c>
      <c r="C638" s="522">
        <v>2100</v>
      </c>
      <c r="D638" s="522">
        <v>6600</v>
      </c>
      <c r="E638" s="523">
        <f>SUMIFS('Accounting data'!$G$2:$G$37000,'Accounting data'!$H$2:$H$37000,"9999*",'Accounting data'!$J$2:$J$37000,"21*",'Accounting data'!$K$2:$K$37000,"66*")</f>
        <v>0</v>
      </c>
    </row>
    <row r="639" spans="1:5" x14ac:dyDescent="0.2">
      <c r="A639" s="522" t="s">
        <v>991</v>
      </c>
      <c r="B639" s="522" t="s">
        <v>993</v>
      </c>
      <c r="C639" s="522">
        <v>2100</v>
      </c>
      <c r="D639" s="522">
        <v>6600</v>
      </c>
      <c r="E639" s="523">
        <f>SUMIFS('Accounting data'!$G$2:$G$37000,'Accounting data'!$I$2:$I$37000,"7*",'Accounting data'!$J$2:$J$37000,"21*",'Accounting data'!$K$2:$K$37000,"66*")+SUMIFS('Accounting data'!$G$2:$G$37000,'Accounting data'!$I$2:$I$37000,"8*",'Accounting data'!$J$2:$J$37000,"21*",'Accounting data'!$K$2:$K$37000,"66*")+SUMIFS('Accounting data'!$G$2:$G$37000,'Accounting data'!$I$2:$I$37000,"9*",'Accounting data'!$J$2:$J$37000,"21*",'Accounting data'!$K$2:$K$37000,"66*")</f>
        <v>0</v>
      </c>
    </row>
    <row r="640" spans="1:5" x14ac:dyDescent="0.2">
      <c r="A640" s="524" t="s">
        <v>992</v>
      </c>
      <c r="B640" s="522" t="s">
        <v>993</v>
      </c>
      <c r="C640" s="522">
        <v>2100</v>
      </c>
      <c r="D640" s="522">
        <v>6600</v>
      </c>
      <c r="E640" s="523">
        <f>SUMIFS('Accounting data'!$G$2:$G$37000,'Accounting data'!$H$2:$H$37000,"9999*",'Accounting data'!$I$2:$I$37000,"7*",'Accounting data'!$J$2:$J$37000,"21*",'Accounting data'!$K$2:$K$37000,"66*")+SUMIFS('Accounting data'!$G$2:$G$37000,'Accounting data'!$H$2:$H$37000,"9999*",'Accounting data'!$I$2:$I$37000,"8*",'Accounting data'!$J$2:$J$37000,"21*",'Accounting data'!$K$2:$K$37000,"66*")+SUMIFS('Accounting data'!$G$2:$G$37000,'Accounting data'!$H$2:$H$37000,"9999*",'Accounting data'!$I$2:$I$37000,"9*",'Accounting data'!$J$2:$J$37000,"21*",'Accounting data'!$K$2:$K$37000,"66*")</f>
        <v>0</v>
      </c>
    </row>
    <row r="643" spans="1:5" x14ac:dyDescent="0.2">
      <c r="A643" s="525" t="s">
        <v>1042</v>
      </c>
      <c r="B643" s="525"/>
      <c r="C643" s="525"/>
      <c r="D643" s="525"/>
      <c r="E643" s="527">
        <f>(E637-E638-E639)+(E640+E641+E642)</f>
        <v>8844</v>
      </c>
    </row>
    <row r="644" spans="1:5" x14ac:dyDescent="0.2">
      <c r="A644" s="522" t="s">
        <v>991</v>
      </c>
      <c r="B644" s="522" t="s">
        <v>991</v>
      </c>
      <c r="C644" s="522">
        <v>2200</v>
      </c>
      <c r="D644" s="522">
        <v>6600</v>
      </c>
      <c r="E644" s="523">
        <f>SUMIFS('Accounting data'!$G$2:$G$37000,'Accounting data'!$J$2:$J$37000,"22*",'Accounting data'!$K$2:$K$37000,"66*")</f>
        <v>1241</v>
      </c>
    </row>
    <row r="645" spans="1:5" x14ac:dyDescent="0.2">
      <c r="A645" s="522" t="s">
        <v>992</v>
      </c>
      <c r="B645" s="522" t="s">
        <v>991</v>
      </c>
      <c r="C645" s="522">
        <v>2200</v>
      </c>
      <c r="D645" s="522">
        <v>6600</v>
      </c>
      <c r="E645" s="523">
        <f>SUMIFS('Accounting data'!$G$2:$G$37000,'Accounting data'!$H$2:$H$37000,"9999*",'Accounting data'!$J$2:$J$37000,"22*",'Accounting data'!$K$2:$K$37000,"66*")</f>
        <v>0</v>
      </c>
    </row>
    <row r="646" spans="1:5" x14ac:dyDescent="0.2">
      <c r="A646" s="522" t="s">
        <v>991</v>
      </c>
      <c r="B646" s="522" t="s">
        <v>993</v>
      </c>
      <c r="C646" s="522">
        <v>2200</v>
      </c>
      <c r="D646" s="522">
        <v>6600</v>
      </c>
      <c r="E646" s="523">
        <f>SUMIFS('Accounting data'!$G$2:$G$37000,'Accounting data'!$I$2:$I$37000,"7*",'Accounting data'!$J$2:$J$37000,"22*",'Accounting data'!$K$2:$K$37000,"66*")+SUMIFS('Accounting data'!$G$2:$G$37000,'Accounting data'!$I$2:$I$37000,"8*",'Accounting data'!$J$2:$J$37000,"22*",'Accounting data'!$K$2:$K$37000,"66*")+SUMIFS('Accounting data'!$G$2:$G$37000,'Accounting data'!$I$2:$I$37000,"9*",'Accounting data'!$J$2:$J$37000,"22*",'Accounting data'!$K$2:$K$37000,"66*")</f>
        <v>0</v>
      </c>
    </row>
    <row r="647" spans="1:5" x14ac:dyDescent="0.2">
      <c r="A647" s="524" t="s">
        <v>992</v>
      </c>
      <c r="B647" s="522" t="s">
        <v>993</v>
      </c>
      <c r="C647" s="522">
        <v>2200</v>
      </c>
      <c r="D647" s="522">
        <v>6600</v>
      </c>
      <c r="E647" s="523">
        <f>SUMIFS('Accounting data'!$G$2:$G$37000,'Accounting data'!$H$2:$H$37000,"9999*",'Accounting data'!$I$2:$I$37000,"7*",'Accounting data'!$J$2:$J$37000,"22*",'Accounting data'!$K$2:$K$37000,"66*")+SUMIFS('Accounting data'!$G$2:$G$37000,'Accounting data'!$H$2:$H$37000,"9999*",'Accounting data'!$I$2:$I$37000,"8*",'Accounting data'!$J$2:$J$37000,"22*",'Accounting data'!$K$2:$K$37000,"66*")+SUMIFS('Accounting data'!$G$2:$G$37000,'Accounting data'!$H$2:$H$37000,"9999*",'Accounting data'!$I$2:$I$37000,"9*",'Accounting data'!$J$2:$J$37000,"22*",'Accounting data'!$K$2:$K$37000,"66*")</f>
        <v>0</v>
      </c>
    </row>
    <row r="648" spans="1:5" x14ac:dyDescent="0.2">
      <c r="A648" s="522"/>
      <c r="B648" s="522"/>
      <c r="C648" s="522"/>
      <c r="D648" s="522"/>
      <c r="E648" s="523"/>
    </row>
    <row r="649" spans="1:5" x14ac:dyDescent="0.2">
      <c r="A649" s="522"/>
      <c r="B649" s="522"/>
      <c r="C649" s="522"/>
      <c r="D649" s="522"/>
      <c r="E649" s="523"/>
    </row>
    <row r="650" spans="1:5" x14ac:dyDescent="0.2">
      <c r="A650" s="525" t="s">
        <v>1043</v>
      </c>
      <c r="B650" s="525"/>
      <c r="C650" s="525"/>
      <c r="D650" s="525"/>
      <c r="E650" s="527">
        <f>(E644-E645-E646)+(E647+E648+E649)</f>
        <v>1241</v>
      </c>
    </row>
    <row r="651" spans="1:5" x14ac:dyDescent="0.2">
      <c r="A651" s="522" t="s">
        <v>991</v>
      </c>
      <c r="B651" s="522" t="s">
        <v>991</v>
      </c>
      <c r="C651" s="522">
        <v>2300</v>
      </c>
      <c r="D651" s="522">
        <v>6600</v>
      </c>
      <c r="E651" s="523">
        <f>SUMIFS('Accounting data'!$G$2:$G$37000,'Accounting data'!$J$2:$J$37000,"23*",'Accounting data'!$K$2:$K$37000,"66*")</f>
        <v>0</v>
      </c>
    </row>
    <row r="652" spans="1:5" x14ac:dyDescent="0.2">
      <c r="A652" s="522" t="s">
        <v>992</v>
      </c>
      <c r="B652" s="522" t="s">
        <v>991</v>
      </c>
      <c r="C652" s="522">
        <v>2300</v>
      </c>
      <c r="D652" s="522">
        <v>6600</v>
      </c>
      <c r="E652" s="523">
        <f>SUMIFS('Accounting data'!$G$2:$G$37000,'Accounting data'!$H$2:$H$37000,"9999*",'Accounting data'!$J$2:$J$37000,"23*",'Accounting data'!$K$2:$K$37000,"66*")</f>
        <v>0</v>
      </c>
    </row>
    <row r="653" spans="1:5" x14ac:dyDescent="0.2">
      <c r="A653" s="522" t="s">
        <v>991</v>
      </c>
      <c r="B653" s="522" t="s">
        <v>993</v>
      </c>
      <c r="C653" s="522">
        <v>2300</v>
      </c>
      <c r="D653" s="522">
        <v>6600</v>
      </c>
      <c r="E653" s="523">
        <f>SUMIFS('Accounting data'!$G$2:$G$37000,'Accounting data'!$I$2:$I$37000,"7*",'Accounting data'!$J$2:$J$37000,"23*",'Accounting data'!$K$2:$K$37000,"66*")+SUMIFS('Accounting data'!$G$2:$G$37000,'Accounting data'!$I$2:$I$37000,"8*",'Accounting data'!$J$2:$J$37000,"23*",'Accounting data'!$K$2:$K$37000,"66*")+SUMIFS('Accounting data'!$G$2:$G$37000,'Accounting data'!$I$2:$I$37000,"9*",'Accounting data'!$J$2:$J$37000,"23*",'Accounting data'!$K$2:$K$37000,"66*")</f>
        <v>0</v>
      </c>
    </row>
    <row r="654" spans="1:5" x14ac:dyDescent="0.2">
      <c r="A654" s="524" t="s">
        <v>992</v>
      </c>
      <c r="B654" s="522" t="s">
        <v>993</v>
      </c>
      <c r="C654" s="522">
        <v>2300</v>
      </c>
      <c r="D654" s="522">
        <v>6600</v>
      </c>
      <c r="E654" s="523">
        <f>SUMIFS('Accounting data'!$G$2:$G$37000,'Accounting data'!$H$2:$H$37000,"9999*",'Accounting data'!$I$2:$I$37000,"7*",'Accounting data'!$J$2:$J$37000,"23*",'Accounting data'!$K$2:$K$37000,"66*")+SUMIFS('Accounting data'!$G$2:$G$37000,'Accounting data'!$H$2:$H$37000,"9999*",'Accounting data'!$I$2:$I$37000,"8*",'Accounting data'!$J$2:$J$37000,"23*",'Accounting data'!$K$2:$K$37000,"66*")+SUMIFS('Accounting data'!$G$2:$G$37000,'Accounting data'!$H$2:$H$37000,"9999*",'Accounting data'!$I$2:$I$37000,"9*",'Accounting data'!$J$2:$J$37000,"23*",'Accounting data'!$K$2:$K$37000,"66*")</f>
        <v>0</v>
      </c>
    </row>
    <row r="657" spans="1:5" x14ac:dyDescent="0.2">
      <c r="A657" s="525" t="s">
        <v>1044</v>
      </c>
      <c r="B657" s="525"/>
      <c r="C657" s="525"/>
      <c r="D657" s="525"/>
      <c r="E657" s="527">
        <f>(E651-E652-E653)+(E654+E655+E656)</f>
        <v>0</v>
      </c>
    </row>
    <row r="658" spans="1:5" x14ac:dyDescent="0.2">
      <c r="A658" s="522" t="s">
        <v>991</v>
      </c>
      <c r="B658" s="522" t="s">
        <v>991</v>
      </c>
      <c r="C658" s="522">
        <v>2400</v>
      </c>
      <c r="D658" s="522">
        <v>6600</v>
      </c>
      <c r="E658" s="523">
        <f>SUMIFS('Accounting data'!$G$2:$G$37000,'Accounting data'!$J$2:$J$37000,"24*",'Accounting data'!$K$2:$K$37000,"66*")</f>
        <v>0</v>
      </c>
    </row>
    <row r="659" spans="1:5" x14ac:dyDescent="0.2">
      <c r="A659" s="522" t="s">
        <v>992</v>
      </c>
      <c r="B659" s="522" t="s">
        <v>991</v>
      </c>
      <c r="C659" s="522">
        <v>2400</v>
      </c>
      <c r="D659" s="522">
        <v>6600</v>
      </c>
      <c r="E659" s="523">
        <f>SUMIFS('Accounting data'!$G$2:$G$37000,'Accounting data'!$H$2:$H$37000,"9999*",'Accounting data'!$J$2:$J$37000,"24*",'Accounting data'!$K$2:$K$37000,"66*")</f>
        <v>0</v>
      </c>
    </row>
    <row r="660" spans="1:5" x14ac:dyDescent="0.2">
      <c r="A660" s="522" t="s">
        <v>991</v>
      </c>
      <c r="B660" s="522" t="s">
        <v>993</v>
      </c>
      <c r="C660" s="522">
        <v>2400</v>
      </c>
      <c r="D660" s="522">
        <v>6600</v>
      </c>
      <c r="E660" s="523">
        <f>SUMIFS('Accounting data'!$G$2:$G$37000,'Accounting data'!$I$2:$I$37000,"7*",'Accounting data'!$J$2:$J$37000,"24*",'Accounting data'!$K$2:$K$37000,"66*")+SUMIFS('Accounting data'!$G$2:$G$37000,'Accounting data'!$I$2:$I$37000,"8*",'Accounting data'!$J$2:$J$37000,"24*",'Accounting data'!$K$2:$K$37000,"66*")+SUMIFS('Accounting data'!$G$2:$G$37000,'Accounting data'!$I$2:$I$37000,"9*",'Accounting data'!$J$2:$J$37000,"24*",'Accounting data'!$K$2:$K$37000,"66*")</f>
        <v>0</v>
      </c>
    </row>
    <row r="661" spans="1:5" x14ac:dyDescent="0.2">
      <c r="A661" s="524" t="s">
        <v>992</v>
      </c>
      <c r="B661" s="522" t="s">
        <v>993</v>
      </c>
      <c r="C661" s="522">
        <v>2400</v>
      </c>
      <c r="D661" s="522">
        <v>6600</v>
      </c>
      <c r="E661" s="523">
        <f>SUMIFS('Accounting data'!$G$2:$G$37000,'Accounting data'!$H$2:$H$37000,"9999*",'Accounting data'!$I$2:$I$37000,"7*",'Accounting data'!$J$2:$J$37000,"24*",'Accounting data'!$K$2:$K$37000,"66*")+SUMIFS('Accounting data'!$G$2:$G$37000,'Accounting data'!$H$2:$H$37000,"9999*",'Accounting data'!$I$2:$I$37000,"8*",'Accounting data'!$J$2:$J$37000,"24*",'Accounting data'!$K$2:$K$37000,"66*")+SUMIFS('Accounting data'!$G$2:$G$37000,'Accounting data'!$H$2:$H$37000,"9999*",'Accounting data'!$I$2:$I$37000,"9*",'Accounting data'!$J$2:$J$37000,"24*",'Accounting data'!$K$2:$K$37000,"66*")</f>
        <v>0</v>
      </c>
    </row>
    <row r="662" spans="1:5" x14ac:dyDescent="0.2">
      <c r="A662" s="522"/>
      <c r="B662" s="522"/>
      <c r="C662" s="522"/>
      <c r="D662" s="522"/>
      <c r="E662" s="523"/>
    </row>
    <row r="663" spans="1:5" x14ac:dyDescent="0.2">
      <c r="A663" s="522"/>
      <c r="B663" s="522"/>
      <c r="C663" s="522"/>
      <c r="D663" s="522"/>
      <c r="E663" s="523"/>
    </row>
    <row r="664" spans="1:5" x14ac:dyDescent="0.2">
      <c r="A664" s="525" t="s">
        <v>1045</v>
      </c>
      <c r="B664" s="525"/>
      <c r="C664" s="525"/>
      <c r="D664" s="525"/>
      <c r="E664" s="527">
        <f>(E658-E659-E660)+(E661+E662+E663)</f>
        <v>0</v>
      </c>
    </row>
    <row r="665" spans="1:5" x14ac:dyDescent="0.2">
      <c r="A665" s="522" t="s">
        <v>991</v>
      </c>
      <c r="B665" s="522" t="s">
        <v>991</v>
      </c>
      <c r="C665" s="522">
        <v>2500</v>
      </c>
      <c r="D665" s="522">
        <v>6600</v>
      </c>
      <c r="E665" s="523">
        <f>SUMIFS('Accounting data'!$G$2:$G$37000,'Accounting data'!$J$2:$J$37000,"25*",'Accounting data'!$K$2:$K$37000,"66*")</f>
        <v>0</v>
      </c>
    </row>
    <row r="666" spans="1:5" x14ac:dyDescent="0.2">
      <c r="A666" s="522" t="s">
        <v>992</v>
      </c>
      <c r="B666" s="522" t="s">
        <v>991</v>
      </c>
      <c r="C666" s="522">
        <v>2500</v>
      </c>
      <c r="D666" s="522">
        <v>6600</v>
      </c>
      <c r="E666" s="523">
        <f>SUMIFS('Accounting data'!$G$2:$G$37000,'Accounting data'!$H$2:$H$37000,"9999*",'Accounting data'!$J$2:$J$37000,"25*",'Accounting data'!$K$2:$K$37000,"66*")</f>
        <v>0</v>
      </c>
    </row>
    <row r="667" spans="1:5" x14ac:dyDescent="0.2">
      <c r="A667" s="522" t="s">
        <v>991</v>
      </c>
      <c r="B667" s="522" t="s">
        <v>993</v>
      </c>
      <c r="C667" s="522">
        <v>2500</v>
      </c>
      <c r="D667" s="522">
        <v>6600</v>
      </c>
      <c r="E667" s="523">
        <f>SUMIFS('Accounting data'!$G$2:$G$37000,'Accounting data'!$I$2:$I$37000,"7*",'Accounting data'!$J$2:$J$37000,"25*",'Accounting data'!$K$2:$K$37000,"66*")+SUMIFS('Accounting data'!$G$2:$G$37000,'Accounting data'!$I$2:$I$37000,"8*",'Accounting data'!$J$2:$J$37000,"25*",'Accounting data'!$K$2:$K$37000,"66*")+SUMIFS('Accounting data'!$G$2:$G$37000,'Accounting data'!$I$2:$I$37000,"9*",'Accounting data'!$J$2:$J$37000,"25*",'Accounting data'!$K$2:$K$37000,"66*")</f>
        <v>0</v>
      </c>
    </row>
    <row r="668" spans="1:5" x14ac:dyDescent="0.2">
      <c r="A668" s="524" t="s">
        <v>992</v>
      </c>
      <c r="B668" s="522" t="s">
        <v>993</v>
      </c>
      <c r="C668" s="522">
        <v>2500</v>
      </c>
      <c r="D668" s="522">
        <v>6600</v>
      </c>
      <c r="E668" s="523">
        <f>SUMIFS('Accounting data'!$G$2:$G$37000,'Accounting data'!$H$2:$H$37000,"9999*",'Accounting data'!$I$2:$I$37000,"7*",'Accounting data'!$J$2:$J$37000,"25*",'Accounting data'!$K$2:$K$37000,"66*")+SUMIFS('Accounting data'!$G$2:$G$37000,'Accounting data'!$H$2:$H$37000,"9999*",'Accounting data'!$I$2:$I$37000,"8*",'Accounting data'!$J$2:$J$37000,"25*",'Accounting data'!$K$2:$K$37000,"66*")+SUMIFS('Accounting data'!$G$2:$G$37000,'Accounting data'!$H$2:$H$37000,"9999*",'Accounting data'!$I$2:$I$37000,"9*",'Accounting data'!$J$2:$J$37000,"25*",'Accounting data'!$K$2:$K$37000,"66*")</f>
        <v>0</v>
      </c>
    </row>
    <row r="669" spans="1:5" x14ac:dyDescent="0.2">
      <c r="A669" s="522"/>
      <c r="B669" s="522"/>
      <c r="C669" s="522"/>
      <c r="D669" s="522"/>
      <c r="E669" s="523"/>
    </row>
    <row r="670" spans="1:5" x14ac:dyDescent="0.2">
      <c r="A670" s="522"/>
      <c r="B670" s="522"/>
      <c r="C670" s="522"/>
      <c r="D670" s="522"/>
      <c r="E670" s="523"/>
    </row>
    <row r="671" spans="1:5" x14ac:dyDescent="0.2">
      <c r="A671" s="525" t="s">
        <v>1046</v>
      </c>
      <c r="B671" s="525"/>
      <c r="C671" s="525"/>
      <c r="D671" s="525"/>
      <c r="E671" s="527">
        <f>(E665-E666-E667)+(E668+E669+E670)</f>
        <v>0</v>
      </c>
    </row>
    <row r="672" spans="1:5" x14ac:dyDescent="0.2">
      <c r="A672" s="522" t="s">
        <v>991</v>
      </c>
      <c r="B672" s="522" t="s">
        <v>991</v>
      </c>
      <c r="C672" s="522">
        <v>2900</v>
      </c>
      <c r="D672" s="522">
        <v>6600</v>
      </c>
      <c r="E672" s="523">
        <f>SUMIFS('Accounting data'!$G$2:$G$37000,'Accounting data'!$J$2:$J$37000,"29*",'Accounting data'!$K$2:$K$37000,"66*")</f>
        <v>0</v>
      </c>
    </row>
    <row r="673" spans="1:5" x14ac:dyDescent="0.2">
      <c r="A673" s="522" t="s">
        <v>992</v>
      </c>
      <c r="B673" s="522" t="s">
        <v>991</v>
      </c>
      <c r="C673" s="522">
        <v>2900</v>
      </c>
      <c r="D673" s="522">
        <v>6600</v>
      </c>
      <c r="E673" s="523">
        <f>SUMIFS('Accounting data'!$G$2:$G$37000,'Accounting data'!$H$2:$H$37000,"9999*",'Accounting data'!$J$2:$J$37000,"29*",'Accounting data'!$K$2:$K$37000,"66*")</f>
        <v>0</v>
      </c>
    </row>
    <row r="674" spans="1:5" x14ac:dyDescent="0.2">
      <c r="A674" s="522" t="s">
        <v>991</v>
      </c>
      <c r="B674" s="522" t="s">
        <v>993</v>
      </c>
      <c r="C674" s="522">
        <v>2900</v>
      </c>
      <c r="D674" s="522">
        <v>6600</v>
      </c>
      <c r="E674" s="523">
        <f>SUMIFS('Accounting data'!$G$2:$G$37000,'Accounting data'!$I$2:$I$37000,"7*",'Accounting data'!$J$2:$J$37000,"29*",'Accounting data'!$K$2:$K$37000,"66*")+SUMIFS('Accounting data'!$G$2:$G$37000,'Accounting data'!$I$2:$I$37000,"8*",'Accounting data'!$J$2:$J$37000,"29*",'Accounting data'!$K$2:$K$37000,"66*")+SUMIFS('Accounting data'!$G$2:$G$37000,'Accounting data'!$I$2:$I$37000,"9*",'Accounting data'!$J$2:$J$37000,"29*",'Accounting data'!$K$2:$K$37000,"66*")</f>
        <v>0</v>
      </c>
    </row>
    <row r="675" spans="1:5" x14ac:dyDescent="0.2">
      <c r="A675" s="524" t="s">
        <v>992</v>
      </c>
      <c r="B675" s="522" t="s">
        <v>993</v>
      </c>
      <c r="C675" s="522">
        <v>2900</v>
      </c>
      <c r="D675" s="522">
        <v>6600</v>
      </c>
      <c r="E675" s="523">
        <f>SUMIFS('Accounting data'!$G$2:$G$37000,'Accounting data'!$H$2:$H$37000,"9999*",'Accounting data'!$I$2:$I$37000,"7*",'Accounting data'!$J$2:$J$37000,"29*",'Accounting data'!$K$2:$K$37000,"66*")+SUMIFS('Accounting data'!$G$2:$G$37000,'Accounting data'!$H$2:$H$37000,"9999*",'Accounting data'!$I$2:$I$37000,"8*",'Accounting data'!$J$2:$J$37000,"29*",'Accounting data'!$K$2:$K$37000,"66*")+SUMIFS('Accounting data'!$G$2:$G$37000,'Accounting data'!$H$2:$H$37000,"9999*",'Accounting data'!$I$2:$I$37000,"9*",'Accounting data'!$J$2:$J$37000,"29*",'Accounting data'!$K$2:$K$37000,"66*")</f>
        <v>0</v>
      </c>
    </row>
    <row r="676" spans="1:5" x14ac:dyDescent="0.2">
      <c r="A676" s="522"/>
      <c r="B676" s="522"/>
      <c r="C676" s="522"/>
      <c r="D676" s="522"/>
      <c r="E676" s="523"/>
    </row>
    <row r="677" spans="1:5" x14ac:dyDescent="0.2">
      <c r="A677" s="522"/>
      <c r="B677" s="522"/>
      <c r="C677" s="522"/>
      <c r="D677" s="522"/>
      <c r="E677" s="523"/>
    </row>
    <row r="678" spans="1:5" x14ac:dyDescent="0.2">
      <c r="A678" s="525" t="s">
        <v>1047</v>
      </c>
      <c r="B678" s="525"/>
      <c r="C678" s="525"/>
      <c r="D678" s="525"/>
      <c r="E678" s="527">
        <f>(E672-E673-E674)+(E675+E676+E677)</f>
        <v>0</v>
      </c>
    </row>
    <row r="679" spans="1:5" x14ac:dyDescent="0.2">
      <c r="A679" s="522" t="s">
        <v>991</v>
      </c>
      <c r="B679" s="522" t="s">
        <v>991</v>
      </c>
      <c r="C679" s="522">
        <v>2600</v>
      </c>
      <c r="D679" s="522">
        <v>6600</v>
      </c>
      <c r="E679" s="523">
        <f>SUMIFS('Accounting data'!$G$2:$G$37000,'Accounting data'!$J$2:$J$37000,"26*",'Accounting data'!$K$2:$K$37000,"66*")</f>
        <v>3942</v>
      </c>
    </row>
    <row r="680" spans="1:5" x14ac:dyDescent="0.2">
      <c r="A680" s="522" t="s">
        <v>992</v>
      </c>
      <c r="B680" s="522" t="s">
        <v>991</v>
      </c>
      <c r="C680" s="522">
        <v>2600</v>
      </c>
      <c r="D680" s="522">
        <v>6600</v>
      </c>
      <c r="E680" s="523">
        <f>SUMIFS('Accounting data'!$G$2:$G$37000,'Accounting data'!$H$2:$H$37000,"9999*",'Accounting data'!$J$2:$J$37000,"26*",'Accounting data'!$K$2:$K$37000,"66*")</f>
        <v>0</v>
      </c>
    </row>
    <row r="681" spans="1:5" x14ac:dyDescent="0.2">
      <c r="A681" s="522" t="s">
        <v>991</v>
      </c>
      <c r="B681" s="522" t="s">
        <v>993</v>
      </c>
      <c r="C681" s="522">
        <v>2600</v>
      </c>
      <c r="D681" s="522">
        <v>6600</v>
      </c>
      <c r="E681" s="523">
        <f>SUMIFS('Accounting data'!$G$2:$G$37000,'Accounting data'!$I$2:$I$37000,"7*",'Accounting data'!$J$2:$J$37000,"26*",'Accounting data'!$K$2:$K$37000,"66*")+SUMIFS('Accounting data'!$G$2:$G$37000,'Accounting data'!$I$2:$I$37000,"8*",'Accounting data'!$J$2:$J$37000,"26*",'Accounting data'!$K$2:$K$37000,"66*")+SUMIFS('Accounting data'!$G$2:$G$37000,'Accounting data'!$I$2:$I$37000,"9*",'Accounting data'!$J$2:$J$37000,"26*",'Accounting data'!$K$2:$K$37000,"66*")</f>
        <v>0</v>
      </c>
    </row>
    <row r="682" spans="1:5" x14ac:dyDescent="0.2">
      <c r="A682" s="524" t="s">
        <v>992</v>
      </c>
      <c r="B682" s="522" t="s">
        <v>993</v>
      </c>
      <c r="C682" s="522">
        <v>2600</v>
      </c>
      <c r="D682" s="522">
        <v>6600</v>
      </c>
      <c r="E682" s="523">
        <f>SUMIFS('Accounting data'!$G$2:$G$37000,'Accounting data'!$H$2:$H$37000,"9999*",'Accounting data'!$I$2:$I$37000,"7*",'Accounting data'!$J$2:$J$37000,"26*",'Accounting data'!$K$2:$K$37000,"66*")+SUMIFS('Accounting data'!$G$2:$G$37000,'Accounting data'!$H$2:$H$37000,"9999*",'Accounting data'!$I$2:$I$37000,"8*",'Accounting data'!$J$2:$J$37000,"26*",'Accounting data'!$K$2:$K$37000,"66*")+SUMIFS('Accounting data'!$G$2:$G$37000,'Accounting data'!$H$2:$H$37000,"9999*",'Accounting data'!$I$2:$I$37000,"9*",'Accounting data'!$J$2:$J$37000,"26*",'Accounting data'!$K$2:$K$37000,"66*")</f>
        <v>0</v>
      </c>
    </row>
    <row r="683" spans="1:5" x14ac:dyDescent="0.2">
      <c r="A683" s="522"/>
      <c r="B683" s="522"/>
      <c r="C683" s="522"/>
      <c r="D683" s="522"/>
      <c r="E683" s="523"/>
    </row>
    <row r="684" spans="1:5" x14ac:dyDescent="0.2">
      <c r="A684" s="522"/>
      <c r="B684" s="522"/>
      <c r="C684" s="522"/>
      <c r="D684" s="522"/>
      <c r="E684" s="523"/>
    </row>
    <row r="685" spans="1:5" x14ac:dyDescent="0.2">
      <c r="A685" s="525" t="s">
        <v>1048</v>
      </c>
      <c r="B685" s="525"/>
      <c r="C685" s="525"/>
      <c r="D685" s="525"/>
      <c r="E685" s="527">
        <f>(E679-E680-E681)+(E682+E683+E684)</f>
        <v>3942</v>
      </c>
    </row>
    <row r="686" spans="1:5" x14ac:dyDescent="0.2">
      <c r="A686" s="522" t="s">
        <v>991</v>
      </c>
      <c r="B686" s="522" t="s">
        <v>991</v>
      </c>
      <c r="C686" s="522">
        <v>2700</v>
      </c>
      <c r="D686" s="522">
        <v>6600</v>
      </c>
      <c r="E686" s="523">
        <f>SUMIFS('Accounting data'!$G$2:$G$37000,'Accounting data'!$J$2:$J$37000,"27*",'Accounting data'!$K$2:$K$37000,"66*")</f>
        <v>0</v>
      </c>
    </row>
    <row r="687" spans="1:5" x14ac:dyDescent="0.2">
      <c r="A687" s="522" t="s">
        <v>992</v>
      </c>
      <c r="B687" s="522" t="s">
        <v>991</v>
      </c>
      <c r="C687" s="522">
        <v>2700</v>
      </c>
      <c r="D687" s="522">
        <v>6600</v>
      </c>
      <c r="E687" s="523">
        <f>SUMIFS('Accounting data'!$G$2:$G$37000,'Accounting data'!$H$2:$H$37000,"9999*",'Accounting data'!$J$2:$J$37000,"27*",'Accounting data'!$K$2:$K$37000,"66*")</f>
        <v>0</v>
      </c>
    </row>
    <row r="688" spans="1:5" x14ac:dyDescent="0.2">
      <c r="A688" s="522" t="s">
        <v>991</v>
      </c>
      <c r="B688" s="522" t="s">
        <v>993</v>
      </c>
      <c r="C688" s="522">
        <v>2700</v>
      </c>
      <c r="D688" s="522">
        <v>6600</v>
      </c>
      <c r="E688" s="523">
        <f>SUMIFS('Accounting data'!$G$2:$G$37000,'Accounting data'!$I$2:$I$37000,"7*",'Accounting data'!$J$2:$J$37000,"27*",'Accounting data'!$K$2:$K$37000,"66*")+SUMIFS('Accounting data'!$G$2:$G$37000,'Accounting data'!$I$2:$I$37000,"8*",'Accounting data'!$J$2:$J$37000,"27*",'Accounting data'!$K$2:$K$37000,"66*")+SUMIFS('Accounting data'!$G$2:$G$37000,'Accounting data'!$I$2:$I$37000,"9*",'Accounting data'!$J$2:$J$37000,"27*",'Accounting data'!$K$2:$K$37000,"66*")</f>
        <v>0</v>
      </c>
    </row>
    <row r="689" spans="1:5" x14ac:dyDescent="0.2">
      <c r="A689" s="524" t="s">
        <v>992</v>
      </c>
      <c r="B689" s="522" t="s">
        <v>993</v>
      </c>
      <c r="C689" s="522">
        <v>2700</v>
      </c>
      <c r="D689" s="522">
        <v>6600</v>
      </c>
      <c r="E689" s="523">
        <f>SUMIFS('Accounting data'!$G$2:$G$37000,'Accounting data'!$H$2:$H$37000,"9999*",'Accounting data'!$I$2:$I$37000,"7*",'Accounting data'!$J$2:$J$37000,"27*",'Accounting data'!$K$2:$K$37000,"66*")+SUMIFS('Accounting data'!$G$2:$G$37000,'Accounting data'!$H$2:$H$37000,"9999*",'Accounting data'!$I$2:$I$37000,"8*",'Accounting data'!$J$2:$J$37000,"27*",'Accounting data'!$K$2:$K$37000,"66*")+SUMIFS('Accounting data'!$G$2:$G$37000,'Accounting data'!$H$2:$H$37000,"9999*",'Accounting data'!$I$2:$I$37000,"9*",'Accounting data'!$J$2:$J$37000,"27*",'Accounting data'!$K$2:$K$37000,"66*")</f>
        <v>0</v>
      </c>
    </row>
    <row r="690" spans="1:5" x14ac:dyDescent="0.2">
      <c r="A690" s="522"/>
      <c r="B690" s="522"/>
      <c r="C690" s="522"/>
      <c r="D690" s="522"/>
      <c r="E690" s="523"/>
    </row>
    <row r="691" spans="1:5" x14ac:dyDescent="0.2">
      <c r="A691" s="522"/>
      <c r="B691" s="522"/>
      <c r="C691" s="522"/>
      <c r="D691" s="522"/>
      <c r="E691" s="523"/>
    </row>
    <row r="692" spans="1:5" x14ac:dyDescent="0.2">
      <c r="A692" s="525" t="s">
        <v>1049</v>
      </c>
      <c r="B692" s="525"/>
      <c r="C692" s="525"/>
      <c r="D692" s="525"/>
      <c r="E692" s="527">
        <f>(E686-E687-E688)+(E689+E690+E691)</f>
        <v>0</v>
      </c>
    </row>
    <row r="693" spans="1:5" x14ac:dyDescent="0.2">
      <c r="A693" s="522" t="s">
        <v>991</v>
      </c>
      <c r="B693" s="522" t="s">
        <v>991</v>
      </c>
      <c r="C693" s="522">
        <v>3100</v>
      </c>
      <c r="D693" s="522">
        <v>6600</v>
      </c>
      <c r="E693" s="523">
        <f>SUMIFS('Accounting data'!$G$2:$G$37000,'Accounting data'!$J$2:$J$37000,"31*",'Accounting data'!$K$2:$K$37000,"66*")</f>
        <v>0</v>
      </c>
    </row>
    <row r="694" spans="1:5" x14ac:dyDescent="0.2">
      <c r="A694" s="522" t="s">
        <v>992</v>
      </c>
      <c r="B694" s="522" t="s">
        <v>991</v>
      </c>
      <c r="C694" s="522">
        <v>3100</v>
      </c>
      <c r="D694" s="522">
        <v>6600</v>
      </c>
      <c r="E694" s="523">
        <f>SUMIFS('Accounting data'!$G$2:$G$37000,'Accounting data'!$H$2:$H$37000,"9999*",'Accounting data'!$J$2:$J$37000,"31*",'Accounting data'!$K$2:$K$37000,"66*")</f>
        <v>0</v>
      </c>
    </row>
    <row r="695" spans="1:5" x14ac:dyDescent="0.2">
      <c r="A695" s="522" t="s">
        <v>991</v>
      </c>
      <c r="B695" s="522" t="s">
        <v>993</v>
      </c>
      <c r="C695" s="522">
        <v>3100</v>
      </c>
      <c r="D695" s="522">
        <v>6600</v>
      </c>
      <c r="E695" s="523">
        <f>SUMIFS('Accounting data'!$G$2:$G$37000,'Accounting data'!$I$2:$I$37000,"7*",'Accounting data'!$J$2:$J$37000,"31*",'Accounting data'!$K$2:$K$37000,"66*")+SUMIFS('Accounting data'!$G$2:$G$37000,'Accounting data'!$I$2:$I$37000,"8*",'Accounting data'!$J$2:$J$37000,"31*",'Accounting data'!$K$2:$K$37000,"66*")+SUMIFS('Accounting data'!$G$2:$G$37000,'Accounting data'!$I$2:$I$37000,"9*",'Accounting data'!$J$2:$J$37000,"31*",'Accounting data'!$K$2:$K$37000,"66*")</f>
        <v>0</v>
      </c>
    </row>
    <row r="696" spans="1:5" x14ac:dyDescent="0.2">
      <c r="A696" s="524" t="s">
        <v>992</v>
      </c>
      <c r="B696" s="522" t="s">
        <v>993</v>
      </c>
      <c r="C696" s="522">
        <v>3100</v>
      </c>
      <c r="D696" s="522">
        <v>6600</v>
      </c>
      <c r="E696" s="523">
        <f>SUMIFS('Accounting data'!$G$2:$G$37000,'Accounting data'!$H$2:$H$37000,"9999*",'Accounting data'!$I$2:$I$37000,"7*",'Accounting data'!$J$2:$J$37000,"31*",'Accounting data'!$K$2:$K$37000,"66*")+SUMIFS('Accounting data'!$G$2:$G$37000,'Accounting data'!$H$2:$H$37000,"9999*",'Accounting data'!$I$2:$I$37000,"8*",'Accounting data'!$J$2:$J$37000,"31*",'Accounting data'!$K$2:$K$37000,"66*")+SUMIFS('Accounting data'!$G$2:$G$37000,'Accounting data'!$H$2:$H$37000,"9999*",'Accounting data'!$I$2:$I$37000,"9*",'Accounting data'!$J$2:$J$37000,"31*",'Accounting data'!$K$2:$K$37000,"66*")</f>
        <v>0</v>
      </c>
    </row>
    <row r="697" spans="1:5" x14ac:dyDescent="0.2">
      <c r="A697" s="522"/>
      <c r="B697" s="522"/>
      <c r="C697" s="522"/>
      <c r="D697" s="522"/>
      <c r="E697" s="523"/>
    </row>
    <row r="698" spans="1:5" x14ac:dyDescent="0.2">
      <c r="A698" s="522"/>
      <c r="B698" s="522"/>
      <c r="C698" s="522"/>
      <c r="D698" s="522"/>
      <c r="E698" s="523"/>
    </row>
    <row r="699" spans="1:5" x14ac:dyDescent="0.2">
      <c r="A699" s="525" t="s">
        <v>1050</v>
      </c>
      <c r="B699" s="525"/>
      <c r="C699" s="525"/>
      <c r="D699" s="525"/>
      <c r="E699" s="527">
        <f>(E693-E694-E695)+(E696+E697+E698)</f>
        <v>0</v>
      </c>
    </row>
    <row r="707" spans="1:5" x14ac:dyDescent="0.2">
      <c r="A707" s="522" t="s">
        <v>991</v>
      </c>
      <c r="B707" s="522" t="s">
        <v>991</v>
      </c>
      <c r="C707" s="522">
        <v>3400</v>
      </c>
      <c r="D707" s="522">
        <v>6600</v>
      </c>
      <c r="E707" s="523">
        <f>SUMIFS('Accounting data'!$G$2:$G$37000,'Accounting data'!$J$2:$J$37000,"34*",'Accounting data'!$K$2:$K$37000,"66*")</f>
        <v>0</v>
      </c>
    </row>
    <row r="708" spans="1:5" x14ac:dyDescent="0.2">
      <c r="A708" s="522" t="s">
        <v>992</v>
      </c>
      <c r="B708" s="522" t="s">
        <v>991</v>
      </c>
      <c r="C708" s="522">
        <v>3400</v>
      </c>
      <c r="D708" s="522">
        <v>6600</v>
      </c>
      <c r="E708" s="523">
        <f>SUMIFS('Accounting data'!$G$2:$G$37000,'Accounting data'!$H$2:$H$37000,"9999*",'Accounting data'!$J$2:$J$37000,"34*",'Accounting data'!$K$2:$K$37000,"66*")</f>
        <v>0</v>
      </c>
    </row>
    <row r="709" spans="1:5" x14ac:dyDescent="0.2">
      <c r="A709" s="522" t="s">
        <v>991</v>
      </c>
      <c r="B709" s="522" t="s">
        <v>993</v>
      </c>
      <c r="C709" s="522">
        <v>3400</v>
      </c>
      <c r="D709" s="522">
        <v>6600</v>
      </c>
      <c r="E709" s="523">
        <f>SUMIFS('Accounting data'!$G$2:$G$37000,'Accounting data'!$I$2:$I$37000,"7*",'Accounting data'!$J$2:$J$37000,"34*",'Accounting data'!$K$2:$K$37000,"66*")+SUMIFS('Accounting data'!$G$2:$G$37000,'Accounting data'!$I$2:$I$37000,"8*",'Accounting data'!$J$2:$J$37000,"34*",'Accounting data'!$K$2:$K$37000,"66*")+SUMIFS('Accounting data'!$G$2:$G$37000,'Accounting data'!$I$2:$I$37000,"9*",'Accounting data'!$J$2:$J$37000,"34*",'Accounting data'!$K$2:$K$37000,"66*")</f>
        <v>0</v>
      </c>
    </row>
    <row r="710" spans="1:5" x14ac:dyDescent="0.2">
      <c r="A710" s="524" t="s">
        <v>992</v>
      </c>
      <c r="B710" s="522" t="s">
        <v>993</v>
      </c>
      <c r="C710" s="522">
        <v>3400</v>
      </c>
      <c r="D710" s="522">
        <v>6600</v>
      </c>
      <c r="E710" s="523">
        <f>SUMIFS('Accounting data'!$G$2:$G$37000,'Accounting data'!$H$2:$H$37000,"9999*",'Accounting data'!$I$2:$I$37000,"7*",'Accounting data'!$J$2:$J$37000,"34*",'Accounting data'!$K$2:$K$37000,"66*")+SUMIFS('Accounting data'!$G$2:$G$37000,'Accounting data'!$H$2:$H$37000,"9999*",'Accounting data'!$I$2:$I$37000,"8*",'Accounting data'!$J$2:$J$37000,"34*",'Accounting data'!$K$2:$K$37000,"66*")+SUMIFS('Accounting data'!$G$2:$G$37000,'Accounting data'!$H$2:$H$37000,"9999*",'Accounting data'!$I$2:$I$37000,"9*",'Accounting data'!$J$2:$J$37000,"34*",'Accounting data'!$K$2:$K$37000,"66*")</f>
        <v>0</v>
      </c>
    </row>
    <row r="711" spans="1:5" x14ac:dyDescent="0.2">
      <c r="A711" s="522"/>
      <c r="B711" s="522"/>
      <c r="C711" s="522"/>
      <c r="D711" s="522"/>
      <c r="E711" s="523"/>
    </row>
    <row r="712" spans="1:5" x14ac:dyDescent="0.2">
      <c r="A712" s="522"/>
      <c r="B712" s="522"/>
      <c r="C712" s="522"/>
      <c r="D712" s="522"/>
      <c r="E712" s="523"/>
    </row>
    <row r="713" spans="1:5" x14ac:dyDescent="0.2">
      <c r="A713" s="525" t="s">
        <v>1051</v>
      </c>
      <c r="B713" s="525"/>
      <c r="C713" s="525"/>
      <c r="D713" s="525"/>
      <c r="E713" s="527">
        <f>(E707-E708-E709)+(E710+E711+E712)</f>
        <v>0</v>
      </c>
    </row>
    <row r="714" spans="1:5" x14ac:dyDescent="0.2">
      <c r="A714" s="522" t="s">
        <v>991</v>
      </c>
      <c r="B714" s="522" t="s">
        <v>991</v>
      </c>
      <c r="C714" s="522">
        <v>4000</v>
      </c>
      <c r="D714" s="522">
        <v>6600</v>
      </c>
      <c r="E714" s="523">
        <f>SUMIFS('Accounting data'!$G$2:$G$37000,'Accounting data'!$J$2:$J$37000,"4*",'Accounting data'!$K$2:$K$37000,"66*")</f>
        <v>0</v>
      </c>
    </row>
    <row r="715" spans="1:5" x14ac:dyDescent="0.2">
      <c r="A715" s="522" t="s">
        <v>992</v>
      </c>
      <c r="B715" s="522" t="s">
        <v>991</v>
      </c>
      <c r="C715" s="522">
        <v>4000</v>
      </c>
      <c r="D715" s="522">
        <v>6600</v>
      </c>
      <c r="E715" s="523">
        <f>SUMIFS('Accounting data'!$G$2:$G$37000,'Accounting data'!$H$2:$H$37000,"9999*",'Accounting data'!$J$2:$J$37000,"4*",'Accounting data'!$K$2:$K$37000,"66*")</f>
        <v>0</v>
      </c>
    </row>
    <row r="716" spans="1:5" x14ac:dyDescent="0.2">
      <c r="A716" s="522" t="s">
        <v>991</v>
      </c>
      <c r="B716" s="522" t="s">
        <v>993</v>
      </c>
      <c r="C716" s="522">
        <v>4000</v>
      </c>
      <c r="D716" s="522">
        <v>6600</v>
      </c>
      <c r="E716" s="523">
        <f>SUMIFS('Accounting data'!$G$2:$G$37000,'Accounting data'!$I$2:$I$37000,"7*",'Accounting data'!$J$2:$J$37000,"4*",'Accounting data'!$K$2:$K$37000,"66*")+SUMIFS('Accounting data'!$G$2:$G$37000,'Accounting data'!$I$2:$I$37000,"8*",'Accounting data'!$J$2:$J$37000,"4*",'Accounting data'!$K$2:$K$37000,"66*")+SUMIFS('Accounting data'!$G$2:$G$37000,'Accounting data'!$I$2:$I$37000,"9*",'Accounting data'!$J$2:$J$37000,"4*",'Accounting data'!$K$2:$K$37000,"66*")</f>
        <v>0</v>
      </c>
    </row>
    <row r="717" spans="1:5" x14ac:dyDescent="0.2">
      <c r="A717" s="524" t="s">
        <v>992</v>
      </c>
      <c r="B717" s="522" t="s">
        <v>993</v>
      </c>
      <c r="C717" s="522">
        <v>4000</v>
      </c>
      <c r="D717" s="522">
        <v>6600</v>
      </c>
      <c r="E717" s="523">
        <f>SUMIFS('Accounting data'!$G$2:$G$37000,'Accounting data'!$H$2:$H$37000,"9999*",'Accounting data'!$I$2:$I$37000,"7*",'Accounting data'!$J$2:$J$37000,"4*",'Accounting data'!$K$2:$K$37000,"66*")+SUMIFS('Accounting data'!$G$2:$G$37000,'Accounting data'!$H$2:$H$37000,"9999*",'Accounting data'!$I$2:$I$37000,"8*",'Accounting data'!$J$2:$J$37000,"4*",'Accounting data'!$K$2:$K$37000,"66*")+SUMIFS('Accounting data'!$G$2:$G$37000,'Accounting data'!$H$2:$H$37000,"9999*",'Accounting data'!$I$2:$I$37000,"9*",'Accounting data'!$J$2:$J$37000,"4*",'Accounting data'!$K$2:$K$37000,"66*")</f>
        <v>0</v>
      </c>
    </row>
    <row r="718" spans="1:5" x14ac:dyDescent="0.2">
      <c r="A718" s="522"/>
      <c r="B718" s="522"/>
      <c r="C718" s="522"/>
      <c r="D718" s="522"/>
      <c r="E718" s="523"/>
    </row>
    <row r="719" spans="1:5" x14ac:dyDescent="0.2">
      <c r="A719" s="522"/>
      <c r="B719" s="522"/>
      <c r="C719" s="522"/>
      <c r="D719" s="522"/>
      <c r="E719" s="523"/>
    </row>
    <row r="720" spans="1:5" x14ac:dyDescent="0.2">
      <c r="A720" s="525" t="s">
        <v>1052</v>
      </c>
      <c r="B720" s="525"/>
      <c r="C720" s="525"/>
      <c r="D720" s="525"/>
      <c r="E720" s="527">
        <f>(E714-E715-E716)+(E717+E718+E719)</f>
        <v>0</v>
      </c>
    </row>
    <row r="721" spans="1:5" x14ac:dyDescent="0.2">
      <c r="A721" s="533" t="s">
        <v>1053</v>
      </c>
      <c r="B721" s="533"/>
      <c r="C721" s="533"/>
      <c r="D721" s="533"/>
      <c r="E721" s="534">
        <f>E636+E643+E650+E657+E664+E671+E678+E685+E692+E699+E706+E713</f>
        <v>130416</v>
      </c>
    </row>
    <row r="722" spans="1:5" x14ac:dyDescent="0.2">
      <c r="A722" s="522" t="s">
        <v>1007</v>
      </c>
      <c r="B722" s="522" t="s">
        <v>991</v>
      </c>
      <c r="C722" s="522">
        <v>1000</v>
      </c>
      <c r="D722" s="522">
        <v>6600</v>
      </c>
      <c r="E722" s="523">
        <f>SUMIFS('Accounting data'!$G$2:$G$37000,'Accounting data'!$H$2:$H$37000,"11*",'Accounting data'!$J$2:$J$37000,"1*",'Accounting data'!$K$2:$K$37000,"66*")+SUMIFS('Accounting data'!$G$2:$G$37000,'Accounting data'!$H$2:$H$37000,"12*",'Accounting data'!$J$2:$J$37000,"1*",'Accounting data'!$K$2:$K$37000,"66*")+SUMIFS('Accounting data'!$G$2:$G$37000,'Accounting data'!$H$2:$H$37000,"13*",'Accounting data'!$J$2:$J$37000,"1*",'Accounting data'!$K$2:$K$37000,"66*")</f>
        <v>1385</v>
      </c>
    </row>
    <row r="723" spans="1:5" x14ac:dyDescent="0.2">
      <c r="A723" s="522" t="s">
        <v>1007</v>
      </c>
      <c r="B723" s="522" t="s">
        <v>991</v>
      </c>
      <c r="C723" s="522">
        <v>2000</v>
      </c>
      <c r="D723" s="522">
        <v>6600</v>
      </c>
      <c r="E723" s="523">
        <f>SUMIFS('Accounting data'!$G$2:$G$37000,'Accounting data'!$H$2:$H$37000,"11*",'Accounting data'!$J$2:$J$37000,"2*",'Accounting data'!$K$2:$K$37000,"66*")+SUMIFS('Accounting data'!$G$2:$G$37000,'Accounting data'!$H$2:$H$37000,"12*",'Accounting data'!$J$2:$J$37000,"2*",'Accounting data'!$K$2:$K$37000,"66*")+SUMIFS('Accounting data'!$G$2:$G$37000,'Accounting data'!$H$2:$H$37000,"13*",'Accounting data'!$J$2:$J$37000,"2*",'Accounting data'!$K$2:$K$37000,"66*")</f>
        <v>0</v>
      </c>
    </row>
    <row r="724" spans="1:5" x14ac:dyDescent="0.2">
      <c r="A724" s="522" t="s">
        <v>1007</v>
      </c>
      <c r="B724" s="522" t="s">
        <v>991</v>
      </c>
      <c r="C724" s="522">
        <v>3000</v>
      </c>
      <c r="D724" s="522">
        <v>6600</v>
      </c>
      <c r="E724" s="523">
        <f>SUMIFS('Accounting data'!$G$2:$G$37000,'Accounting data'!$H$2:$H$37000,"11*",'Accounting data'!$J$2:$J$37000,"3*",'Accounting data'!$K$2:$K$37000,"66*")+SUMIFS('Accounting data'!$G$2:$G$37000,'Accounting data'!$H$2:$H$37000,"12*",'Accounting data'!$J$2:$J$37000,"3*",'Accounting data'!$K$2:$K$37000,"66*")+SUMIFS('Accounting data'!$G$2:$G$37000,'Accounting data'!$H$2:$H$37000,"13*",'Accounting data'!$J$2:$J$37000,"3*",'Accounting data'!$K$2:$K$37000,"66*")</f>
        <v>0</v>
      </c>
    </row>
    <row r="725" spans="1:5" x14ac:dyDescent="0.2">
      <c r="A725" s="522" t="s">
        <v>1007</v>
      </c>
      <c r="B725" s="524">
        <v>700</v>
      </c>
      <c r="C725" s="522">
        <v>1000</v>
      </c>
      <c r="D725" s="522">
        <v>6600</v>
      </c>
      <c r="E725" s="523">
        <f>SUMIFS('Accounting data'!$G$2:$G$37000,'Accounting data'!$H$2:$H$37000,"11*",'Accounting data'!$I$2:$I$37000,"7*",'Accounting data'!$J$2:$J$37000,"1*",'Accounting data'!$K$2:$K$37000,"66*")+SUMIFS('Accounting data'!$G$2:$G$37000,'Accounting data'!$H$2:$H$37000,"12*",'Accounting data'!$I$2:$I$37000,"7*",'Accounting data'!$J$2:$J$37000,"1*",'Accounting data'!$K$2:$K$37000,"66*")+SUMIFS('Accounting data'!$G$2:$G$37000,'Accounting data'!$H$2:$H$37000,"13*",'Accounting data'!$I$2:$I$37000,"7*",'Accounting data'!$J$2:$J$37000,"1*",'Accounting data'!$K$2:$K$37000,"66*")</f>
        <v>0</v>
      </c>
    </row>
    <row r="726" spans="1:5" x14ac:dyDescent="0.2">
      <c r="A726" s="522" t="s">
        <v>1007</v>
      </c>
      <c r="B726" s="524">
        <v>800</v>
      </c>
      <c r="C726" s="522">
        <v>1000</v>
      </c>
      <c r="D726" s="522">
        <v>6600</v>
      </c>
      <c r="E726" s="523">
        <f>SUMIFS('Accounting data'!$G$2:$G$37000,'Accounting data'!$H$2:$H$37000,"11*",'Accounting data'!$I$2:$I$37000,"8*",'Accounting data'!$J$2:$J$37000,"1*",'Accounting data'!$K$2:$K$37000,"66*")+SUMIFS('Accounting data'!$G$2:$G$37000,'Accounting data'!$H$2:$H$37000,"12*",'Accounting data'!$I$2:$I$37000,"8*",'Accounting data'!$J$2:$J$37000,"1*",'Accounting data'!$K$2:$K$37000,"66*")+SUMIFS('Accounting data'!$G$2:$G$37000,'Accounting data'!$H$2:$H$37000,"13*",'Accounting data'!$I$2:$I$37000,"8*",'Accounting data'!$J$2:$J$37000,"1*",'Accounting data'!$K$2:$K$37000,"66*")</f>
        <v>0</v>
      </c>
    </row>
    <row r="727" spans="1:5" x14ac:dyDescent="0.2">
      <c r="A727" s="522" t="s">
        <v>1007</v>
      </c>
      <c r="B727" s="524">
        <v>900</v>
      </c>
      <c r="C727" s="522">
        <v>1000</v>
      </c>
      <c r="D727" s="522">
        <v>6600</v>
      </c>
      <c r="E727" s="523">
        <f>SUMIFS('Accounting data'!$G$2:$G$37000,'Accounting data'!$H$2:$H$37000,"11*",'Accounting data'!$I$2:$I$37000,"9*",'Accounting data'!$J$2:$J$37000,"1*",'Accounting data'!$K$2:$K$37000,"66*")+SUMIFS('Accounting data'!$G$2:$G$37000,'Accounting data'!$H$2:$H$37000,"12*",'Accounting data'!$I$2:$I$37000,"9*",'Accounting data'!$J$2:$J$37000,"1*",'Accounting data'!$K$2:$K$37000,"66*")+SUMIFS('Accounting data'!$G$2:$G$37000,'Accounting data'!$H$2:$H$37000,"13*",'Accounting data'!$I$2:$I$37000,"9*",'Accounting data'!$J$2:$J$37000,"1*",'Accounting data'!$K$2:$K$37000,"66*")</f>
        <v>0</v>
      </c>
    </row>
    <row r="728" spans="1:5" x14ac:dyDescent="0.2">
      <c r="A728" s="522" t="s">
        <v>1007</v>
      </c>
      <c r="B728" s="524">
        <v>700</v>
      </c>
      <c r="C728" s="522">
        <v>2000</v>
      </c>
      <c r="D728" s="522">
        <v>6600</v>
      </c>
      <c r="E728" s="523">
        <f>SUMIFS('Accounting data'!$G$2:$G$37000,'Accounting data'!$H$2:$H$37000,"11*",'Accounting data'!$I$2:$I$37000,"7*",'Accounting data'!$J$2:$J$37000,"2*",'Accounting data'!$K$2:$K$37000,"66*")+SUMIFS('Accounting data'!$G$2:$G$37000,'Accounting data'!$H$2:$H$37000,"12*",'Accounting data'!$I$2:$I$37000,"7*",'Accounting data'!$J$2:$J$37000,"2*",'Accounting data'!$K$2:$K$37000,"66*")+SUMIFS('Accounting data'!$G$2:$G$37000,'Accounting data'!$H$2:$H$37000,"13*",'Accounting data'!$I$2:$I$37000,"7*",'Accounting data'!$J$2:$J$37000,"2*",'Accounting data'!$K$2:$K$37000,"66*")</f>
        <v>0</v>
      </c>
    </row>
    <row r="729" spans="1:5" x14ac:dyDescent="0.2">
      <c r="A729" s="522" t="s">
        <v>1007</v>
      </c>
      <c r="B729" s="524">
        <v>800</v>
      </c>
      <c r="C729" s="522">
        <v>2000</v>
      </c>
      <c r="D729" s="522">
        <v>6600</v>
      </c>
      <c r="E729" s="523">
        <f>SUMIFS('Accounting data'!$G$2:$G$37000,'Accounting data'!$H$2:$H$37000,"11*",'Accounting data'!$I$2:$I$37000,"8*",'Accounting data'!$J$2:$J$37000,"2*",'Accounting data'!$K$2:$K$37000,"66*")+SUMIFS('Accounting data'!$G$2:$G$37000,'Accounting data'!$H$2:$H$37000,"12*",'Accounting data'!$I$2:$I$37000,"8*",'Accounting data'!$J$2:$J$37000,"2*",'Accounting data'!$K$2:$K$37000,"66*")+SUMIFS('Accounting data'!$G$2:$G$37000,'Accounting data'!$H$2:$H$37000,"13*",'Accounting data'!$I$2:$I$37000,"8*",'Accounting data'!$J$2:$J$37000,"2*",'Accounting data'!$K$2:$K$37000,"66*")</f>
        <v>0</v>
      </c>
    </row>
    <row r="730" spans="1:5" x14ac:dyDescent="0.2">
      <c r="A730" s="522" t="s">
        <v>1007</v>
      </c>
      <c r="B730" s="524">
        <v>900</v>
      </c>
      <c r="C730" s="522">
        <v>2000</v>
      </c>
      <c r="D730" s="522">
        <v>6600</v>
      </c>
      <c r="E730" s="523">
        <f>SUMIFS('Accounting data'!$G$2:$G$37000,'Accounting data'!$H$2:$H$37000,"11*",'Accounting data'!$I$2:$I$37000,"9*",'Accounting data'!$J$2:$J$37000,"2*",'Accounting data'!$K$2:$K$37000,"66*")+SUMIFS('Accounting data'!$G$2:$G$37000,'Accounting data'!$H$2:$H$37000,"12*",'Accounting data'!$I$2:$I$37000,"9*",'Accounting data'!$J$2:$J$37000,"2*",'Accounting data'!$K$2:$K$37000,"66*")+SUMIFS('Accounting data'!$G$2:$G$37000,'Accounting data'!$H$2:$H$37000,"13*",'Accounting data'!$I$2:$I$37000,"9*",'Accounting data'!$J$2:$J$37000,"2*",'Accounting data'!$K$2:$K$37000,"66*")</f>
        <v>0</v>
      </c>
    </row>
    <row r="731" spans="1:5" x14ac:dyDescent="0.2">
      <c r="A731" s="522" t="s">
        <v>1007</v>
      </c>
      <c r="B731" s="524">
        <v>700</v>
      </c>
      <c r="C731" s="522">
        <v>3000</v>
      </c>
      <c r="D731" s="522">
        <v>6600</v>
      </c>
      <c r="E731" s="523">
        <f>SUMIFS('Accounting data'!$G$2:$G$37000,'Accounting data'!$H$2:$H$37000,"11*",'Accounting data'!$I$2:$I$37000,"7*",'Accounting data'!$J$2:$J$37000,"3*",'Accounting data'!$K$2:$K$37000,"66*")+SUMIFS('Accounting data'!$G$2:$G$37000,'Accounting data'!$H$2:$H$37000,"12*",'Accounting data'!$I$2:$I$37000,"7*",'Accounting data'!$J$2:$J$37000,"3*",'Accounting data'!$K$2:$K$37000,"66*")+SUMIFS('Accounting data'!$G$2:$G$37000,'Accounting data'!$H$2:$H$37000,"13*",'Accounting data'!$I$2:$I$37000,"7*",'Accounting data'!$J$2:$J$37000,"3*",'Accounting data'!$K$2:$K$37000,"66*")</f>
        <v>0</v>
      </c>
    </row>
    <row r="732" spans="1:5" x14ac:dyDescent="0.2">
      <c r="A732" s="522" t="s">
        <v>1007</v>
      </c>
      <c r="B732" s="524">
        <v>800</v>
      </c>
      <c r="C732" s="522">
        <v>3000</v>
      </c>
      <c r="D732" s="522">
        <v>6600</v>
      </c>
      <c r="E732" s="523">
        <f>SUMIFS('Accounting data'!$G$2:$G$37000,'Accounting data'!$H$2:$H$37000,"11*",'Accounting data'!$I$2:$I$37000,"8*",'Accounting data'!$J$2:$J$37000,"3*",'Accounting data'!$K$2:$K$37000,"66*")+SUMIFS('Accounting data'!$G$2:$G$37000,'Accounting data'!$H$2:$H$37000,"12*",'Accounting data'!$I$2:$I$37000,"8*",'Accounting data'!$J$2:$J$37000,"3*",'Accounting data'!$K$2:$K$37000,"66*")+SUMIFS('Accounting data'!$G$2:$G$37000,'Accounting data'!$H$2:$H$37000,"13*",'Accounting data'!$I$2:$I$37000,"8*",'Accounting data'!$J$2:$J$37000,"3*",'Accounting data'!$K$2:$K$37000,"66*")</f>
        <v>0</v>
      </c>
    </row>
    <row r="733" spans="1:5" x14ac:dyDescent="0.2">
      <c r="A733" s="522" t="s">
        <v>1007</v>
      </c>
      <c r="B733" s="524">
        <v>900</v>
      </c>
      <c r="C733" s="522">
        <v>3000</v>
      </c>
      <c r="D733" s="522">
        <v>6600</v>
      </c>
      <c r="E733" s="523">
        <f>SUMIFS('Accounting data'!$G$2:$G$37000,'Accounting data'!$H$2:$H$37000,"11*",'Accounting data'!$I$2:$I$37000,"9*",'Accounting data'!$J$2:$J$37000,"3*",'Accounting data'!$K$2:$K$37000,"66*")+SUMIFS('Accounting data'!$G$2:$G$37000,'Accounting data'!$H$2:$H$37000,"12*",'Accounting data'!$I$2:$I$37000,"9*",'Accounting data'!$J$2:$J$37000,"3*",'Accounting data'!$K$2:$K$37000,"66*")+SUMIFS('Accounting data'!$G$2:$G$37000,'Accounting data'!$H$2:$H$37000,"13*",'Accounting data'!$I$2:$I$37000,"9*",'Accounting data'!$J$2:$J$37000,"3*",'Accounting data'!$K$2:$K$37000,"66*")</f>
        <v>0</v>
      </c>
    </row>
    <row r="734" spans="1:5" x14ac:dyDescent="0.2">
      <c r="A734" s="525" t="s">
        <v>1054</v>
      </c>
      <c r="B734" s="525"/>
      <c r="C734" s="525"/>
      <c r="D734" s="525"/>
      <c r="E734" s="527">
        <f>(E722+E723+E724)-(E725+E726+E727+E728+E729+E730+E731+E732+E733)</f>
        <v>1385</v>
      </c>
    </row>
    <row r="945" spans="1:5" x14ac:dyDescent="0.2">
      <c r="A945" s="522" t="s">
        <v>991</v>
      </c>
      <c r="B945" s="522" t="s">
        <v>991</v>
      </c>
      <c r="C945" s="522">
        <v>1000</v>
      </c>
      <c r="D945" s="531">
        <v>6810</v>
      </c>
      <c r="E945" s="523">
        <f>SUMIFS('Accounting data'!$G$2:$G$37000,'Accounting data'!$J$2:$J$37000,"1*",'Accounting data'!$K$2:$K$37000,"681*")</f>
        <v>4218</v>
      </c>
    </row>
    <row r="946" spans="1:5" x14ac:dyDescent="0.2">
      <c r="A946" s="522" t="s">
        <v>992</v>
      </c>
      <c r="B946" s="522" t="s">
        <v>991</v>
      </c>
      <c r="C946" s="522">
        <v>1000</v>
      </c>
      <c r="D946" s="531">
        <v>6810</v>
      </c>
      <c r="E946" s="523">
        <f>SUMIFS('Accounting data'!$G$2:$G$37000,'Accounting data'!$H$2:$H$37000,"9999*",'Accounting data'!$J$2:$J$37000,"1*",'Accounting data'!$K$2:$K$37000,"681*")</f>
        <v>0</v>
      </c>
    </row>
    <row r="947" spans="1:5" x14ac:dyDescent="0.2">
      <c r="A947" s="522" t="s">
        <v>991</v>
      </c>
      <c r="B947" s="522" t="s">
        <v>993</v>
      </c>
      <c r="C947" s="522">
        <v>1000</v>
      </c>
      <c r="D947" s="531">
        <v>6810</v>
      </c>
      <c r="E947" s="523">
        <f>SUMIFS('Accounting data'!$G$2:$G$37000,'Accounting data'!$I$2:$I$37000,"7*",'Accounting data'!$J$2:$J$37000,"1*",'Accounting data'!$K$2:$K$37000,"681*")+SUMIFS('Accounting data'!$G$2:$G$37000,'Accounting data'!$I$2:$I$37000,"8*",'Accounting data'!$J$2:$J$37000,"1*",'Accounting data'!$K$2:$K$37000,"681*")+SUMIFS('Accounting data'!$G$2:$G$37000,'Accounting data'!$I$2:$I$37000,"9*",'Accounting data'!$J$2:$J$37000,"1*",'Accounting data'!$K$2:$K$37000,"681*")</f>
        <v>0</v>
      </c>
    </row>
    <row r="948" spans="1:5" x14ac:dyDescent="0.2">
      <c r="A948" s="524" t="s">
        <v>992</v>
      </c>
      <c r="B948" s="522" t="s">
        <v>993</v>
      </c>
      <c r="C948" s="522">
        <v>1000</v>
      </c>
      <c r="D948" s="531">
        <v>6810</v>
      </c>
      <c r="E948" s="523">
        <f>SUMIFS('Accounting data'!$G$2:$G$37000,'Accounting data'!$H$2:$H$37000,"9999*",'Accounting data'!$I$2:$I$37000,"7*",'Accounting data'!$J$2:$J$37000,"1*",'Accounting data'!$K$2:$K$37000,"681*")+SUMIFS('Accounting data'!$G$2:$G$37000,'Accounting data'!$H$2:$H$37000,"9999*",'Accounting data'!$I$2:$I$37000,"8*",'Accounting data'!$J$2:$J$37000,"1*",'Accounting data'!$K$2:$K$37000,"681*")+SUMIFS('Accounting data'!$G$2:$G$37000,'Accounting data'!$H$2:$H$37000,"9999*",'Accounting data'!$I$2:$I$37000,"9*",'Accounting data'!$J$2:$J$37000,"1*",'Accounting data'!$K$2:$K$37000,"681*")</f>
        <v>0</v>
      </c>
    </row>
    <row r="949" spans="1:5" x14ac:dyDescent="0.2">
      <c r="A949" s="522"/>
      <c r="B949" s="522"/>
      <c r="C949" s="522"/>
      <c r="D949" s="531"/>
      <c r="E949" s="523"/>
    </row>
    <row r="950" spans="1:5" x14ac:dyDescent="0.2">
      <c r="A950" s="522"/>
      <c r="B950" s="522"/>
      <c r="C950" s="522"/>
      <c r="D950" s="531"/>
      <c r="E950" s="523"/>
    </row>
    <row r="951" spans="1:5" x14ac:dyDescent="0.2">
      <c r="A951" s="525" t="s">
        <v>1055</v>
      </c>
      <c r="B951" s="525"/>
      <c r="C951" s="525"/>
      <c r="D951" s="525"/>
      <c r="E951" s="527">
        <f>((E945-E946-E947)+(E948+E949+E950))</f>
        <v>4218</v>
      </c>
    </row>
    <row r="952" spans="1:5" x14ac:dyDescent="0.2">
      <c r="A952" s="522" t="s">
        <v>991</v>
      </c>
      <c r="B952" s="522" t="s">
        <v>991</v>
      </c>
      <c r="C952" s="522">
        <v>2100</v>
      </c>
      <c r="D952" s="531">
        <v>6810</v>
      </c>
      <c r="E952" s="523">
        <f>SUMIFS('Accounting data'!$G$2:$G$37000,'Accounting data'!$J$2:$J$37000,"21*",'Accounting data'!$K$2:$K$37000,"681*")</f>
        <v>0</v>
      </c>
    </row>
    <row r="953" spans="1:5" x14ac:dyDescent="0.2">
      <c r="A953" s="522" t="s">
        <v>992</v>
      </c>
      <c r="B953" s="522" t="s">
        <v>991</v>
      </c>
      <c r="C953" s="522">
        <v>2100</v>
      </c>
      <c r="D953" s="531">
        <v>6810</v>
      </c>
      <c r="E953" s="523">
        <f>SUMIFS('Accounting data'!$G$2:$G$37000,'Accounting data'!$H$2:$H$37000,"9999*",'Accounting data'!$J$2:$J$37000,"21*",'Accounting data'!$K$2:$K$37000,"681*")</f>
        <v>0</v>
      </c>
    </row>
    <row r="954" spans="1:5" x14ac:dyDescent="0.2">
      <c r="A954" s="522" t="s">
        <v>991</v>
      </c>
      <c r="B954" s="522" t="s">
        <v>993</v>
      </c>
      <c r="C954" s="522">
        <v>2100</v>
      </c>
      <c r="D954" s="531">
        <v>6810</v>
      </c>
      <c r="E954" s="523">
        <f>SUMIFS('Accounting data'!$G$2:$G$37000,'Accounting data'!$I$2:$I$37000,"7*",'Accounting data'!$J$2:$J$37000,"21*",'Accounting data'!$K$2:$K$37000,"681*")+SUMIFS('Accounting data'!$G$2:$G$37000,'Accounting data'!$I$2:$I$37000,"8*",'Accounting data'!$J$2:$J$37000,"21*",'Accounting data'!$K$2:$K$37000,"681*")+SUMIFS('Accounting data'!$G$2:$G$37000,'Accounting data'!$I$2:$I$37000,"9*",'Accounting data'!$J$2:$J$37000,"21*",'Accounting data'!$K$2:$K$37000,"681*")</f>
        <v>0</v>
      </c>
    </row>
    <row r="955" spans="1:5" x14ac:dyDescent="0.2">
      <c r="A955" s="524" t="s">
        <v>992</v>
      </c>
      <c r="B955" s="522" t="s">
        <v>993</v>
      </c>
      <c r="C955" s="522">
        <v>2100</v>
      </c>
      <c r="D955" s="531">
        <v>6810</v>
      </c>
      <c r="E955" s="523">
        <f>SUMIFS('Accounting data'!$G$2:$G$37000,'Accounting data'!$H$2:$H$37000,"9999*",'Accounting data'!$I$2:$I$37000,"7*",'Accounting data'!$J$2:$J$37000,"21*",'Accounting data'!$K$2:$K$37000,"681*")+SUMIFS('Accounting data'!$G$2:$G$37000,'Accounting data'!$H$2:$H$37000,"9999*",'Accounting data'!$I$2:$I$37000,"8*",'Accounting data'!$J$2:$J$37000,"21*",'Accounting data'!$K$2:$K$37000,"681*")+SUMIFS('Accounting data'!$G$2:$G$37000,'Accounting data'!$H$2:$H$37000,"9999*",'Accounting data'!$I$2:$I$37000,"9*",'Accounting data'!$J$2:$J$37000,"21*",'Accounting data'!$K$2:$K$37000,"681*")</f>
        <v>0</v>
      </c>
    </row>
    <row r="956" spans="1:5" x14ac:dyDescent="0.2">
      <c r="A956" s="522"/>
      <c r="B956" s="522"/>
      <c r="C956" s="522"/>
      <c r="D956" s="531"/>
      <c r="E956" s="523"/>
    </row>
    <row r="957" spans="1:5" x14ac:dyDescent="0.2">
      <c r="A957" s="522"/>
      <c r="B957" s="522"/>
      <c r="C957" s="522"/>
      <c r="D957" s="531"/>
      <c r="E957" s="523"/>
    </row>
    <row r="958" spans="1:5" x14ac:dyDescent="0.2">
      <c r="A958" s="525" t="s">
        <v>1056</v>
      </c>
      <c r="B958" s="525"/>
      <c r="C958" s="525"/>
      <c r="D958" s="525"/>
      <c r="E958" s="527">
        <f>(E952-E953-E954)+(E955+E956+E957)</f>
        <v>0</v>
      </c>
    </row>
    <row r="959" spans="1:5" x14ac:dyDescent="0.2">
      <c r="A959" s="522" t="s">
        <v>991</v>
      </c>
      <c r="B959" s="522" t="s">
        <v>991</v>
      </c>
      <c r="C959" s="522">
        <v>2200</v>
      </c>
      <c r="D959" s="531">
        <v>6810</v>
      </c>
      <c r="E959" s="523">
        <f>SUMIFS('Accounting data'!$G$2:$G$37000,'Accounting data'!$J$2:$J$37000,"22*",'Accounting data'!$K$2:$K$37000,"681*")</f>
        <v>0</v>
      </c>
    </row>
    <row r="960" spans="1:5" x14ac:dyDescent="0.2">
      <c r="A960" s="522" t="s">
        <v>992</v>
      </c>
      <c r="B960" s="522" t="s">
        <v>991</v>
      </c>
      <c r="C960" s="522">
        <v>2200</v>
      </c>
      <c r="D960" s="531">
        <v>6810</v>
      </c>
      <c r="E960" s="523">
        <f>SUMIFS('Accounting data'!$G$2:$G$37000,'Accounting data'!$H$2:$H$37000,"9999*",'Accounting data'!$J$2:$J$37000,"22*",'Accounting data'!$K$2:$K$37000,"681*")</f>
        <v>0</v>
      </c>
    </row>
    <row r="961" spans="1:5" x14ac:dyDescent="0.2">
      <c r="A961" s="522" t="s">
        <v>991</v>
      </c>
      <c r="B961" s="522" t="s">
        <v>993</v>
      </c>
      <c r="C961" s="522">
        <v>2200</v>
      </c>
      <c r="D961" s="531">
        <v>6810</v>
      </c>
      <c r="E961" s="523">
        <f>SUMIFS('Accounting data'!$G$2:$G$37000,'Accounting data'!$I$2:$I$37000,"7*",'Accounting data'!$J$2:$J$37000,"22*",'Accounting data'!$K$2:$K$37000,"681*")+SUMIFS('Accounting data'!$G$2:$G$37000,'Accounting data'!$I$2:$I$37000,"8*",'Accounting data'!$J$2:$J$37000,"22*",'Accounting data'!$K$2:$K$37000,"681*")+SUMIFS('Accounting data'!$G$2:$G$37000,'Accounting data'!$I$2:$I$37000,"9*",'Accounting data'!$J$2:$J$37000,"22*",'Accounting data'!$K$2:$K$37000,"681*")</f>
        <v>0</v>
      </c>
    </row>
    <row r="962" spans="1:5" x14ac:dyDescent="0.2">
      <c r="A962" s="524" t="s">
        <v>992</v>
      </c>
      <c r="B962" s="522" t="s">
        <v>993</v>
      </c>
      <c r="C962" s="522">
        <v>2200</v>
      </c>
      <c r="D962" s="531">
        <v>6810</v>
      </c>
      <c r="E962" s="523">
        <f>SUMIFS('Accounting data'!$G$2:$G$37000,'Accounting data'!$H$2:$H$37000,"9999*",'Accounting data'!$I$2:$I$37000,"7*",'Accounting data'!$J$2:$J$37000,"22*",'Accounting data'!$K$2:$K$37000,"681*")+SUMIFS('Accounting data'!$G$2:$G$37000,'Accounting data'!$H$2:$H$37000,"9999*",'Accounting data'!$I$2:$I$37000,"8*",'Accounting data'!$J$2:$J$37000,"22*",'Accounting data'!$K$2:$K$37000,"681*")+SUMIFS('Accounting data'!$G$2:$G$37000,'Accounting data'!$H$2:$H$37000,"9999*",'Accounting data'!$I$2:$I$37000,"9*",'Accounting data'!$J$2:$J$37000,"22*",'Accounting data'!$K$2:$K$37000,"681*")</f>
        <v>0</v>
      </c>
    </row>
    <row r="963" spans="1:5" x14ac:dyDescent="0.2">
      <c r="A963" s="522"/>
      <c r="B963" s="522"/>
      <c r="C963" s="522"/>
      <c r="D963" s="531"/>
      <c r="E963" s="523"/>
    </row>
    <row r="964" spans="1:5" x14ac:dyDescent="0.2">
      <c r="A964" s="522"/>
      <c r="B964" s="522"/>
      <c r="C964" s="522"/>
      <c r="D964" s="531"/>
      <c r="E964" s="523"/>
    </row>
    <row r="965" spans="1:5" x14ac:dyDescent="0.2">
      <c r="A965" s="525" t="s">
        <v>1057</v>
      </c>
      <c r="B965" s="525"/>
      <c r="C965" s="525"/>
      <c r="D965" s="525"/>
      <c r="E965" s="527">
        <f>(E959-E960-E961)+(E962+E963+E964)</f>
        <v>0</v>
      </c>
    </row>
    <row r="966" spans="1:5" x14ac:dyDescent="0.2">
      <c r="A966" s="522" t="s">
        <v>991</v>
      </c>
      <c r="B966" s="522" t="s">
        <v>991</v>
      </c>
      <c r="C966" s="522">
        <v>2300</v>
      </c>
      <c r="D966" s="531">
        <v>6810</v>
      </c>
      <c r="E966" s="523">
        <f>SUMIFS('Accounting data'!$G$2:$G$37000,'Accounting data'!$J$2:$J$37000,"23*",'Accounting data'!$K$2:$K$37000,"681*")</f>
        <v>0</v>
      </c>
    </row>
    <row r="967" spans="1:5" x14ac:dyDescent="0.2">
      <c r="A967" s="522" t="s">
        <v>992</v>
      </c>
      <c r="B967" s="522" t="s">
        <v>991</v>
      </c>
      <c r="C967" s="522">
        <v>2300</v>
      </c>
      <c r="D967" s="531">
        <v>6810</v>
      </c>
      <c r="E967" s="523">
        <f>SUMIFS('Accounting data'!$G$2:$G$37000,'Accounting data'!$H$2:$H$37000,"9999*",'Accounting data'!$J$2:$J$37000,"23*",'Accounting data'!$K$2:$K$37000,"681*")</f>
        <v>0</v>
      </c>
    </row>
    <row r="968" spans="1:5" x14ac:dyDescent="0.2">
      <c r="A968" s="522" t="s">
        <v>991</v>
      </c>
      <c r="B968" s="522" t="s">
        <v>993</v>
      </c>
      <c r="C968" s="522">
        <v>2300</v>
      </c>
      <c r="D968" s="531">
        <v>6810</v>
      </c>
      <c r="E968" s="523">
        <f>SUMIFS('Accounting data'!$G$2:$G$37000,'Accounting data'!$I$2:$I$37000,"7*",'Accounting data'!$J$2:$J$37000,"23*",'Accounting data'!$K$2:$K$37000,"681*")+SUMIFS('Accounting data'!$G$2:$G$37000,'Accounting data'!$I$2:$I$37000,"8*",'Accounting data'!$J$2:$J$37000,"23*",'Accounting data'!$K$2:$K$37000,"681*")+SUMIFS('Accounting data'!$G$2:$G$37000,'Accounting data'!$I$2:$I$37000,"9*",'Accounting data'!$J$2:$J$37000,"23*",'Accounting data'!$K$2:$K$37000,"681*")</f>
        <v>0</v>
      </c>
    </row>
    <row r="969" spans="1:5" x14ac:dyDescent="0.2">
      <c r="A969" s="524" t="s">
        <v>992</v>
      </c>
      <c r="B969" s="522" t="s">
        <v>993</v>
      </c>
      <c r="C969" s="522">
        <v>2300</v>
      </c>
      <c r="D969" s="531">
        <v>6810</v>
      </c>
      <c r="E969" s="523">
        <f>SUMIFS('Accounting data'!$G$2:$G$37000,'Accounting data'!$H$2:$H$37000,"9999*",'Accounting data'!$I$2:$I$37000,"7*",'Accounting data'!$J$2:$J$37000,"23*",'Accounting data'!$K$2:$K$37000,"681*")+SUMIFS('Accounting data'!$G$2:$G$37000,'Accounting data'!$H$2:$H$37000,"9999*",'Accounting data'!$I$2:$I$37000,"8*",'Accounting data'!$J$2:$J$37000,"23*",'Accounting data'!$K$2:$K$37000,"681*")+SUMIFS('Accounting data'!$G$2:$G$37000,'Accounting data'!$H$2:$H$37000,"9999*",'Accounting data'!$I$2:$I$37000,"9*",'Accounting data'!$J$2:$J$37000,"23*",'Accounting data'!$K$2:$K$37000,"681*")</f>
        <v>0</v>
      </c>
    </row>
    <row r="970" spans="1:5" x14ac:dyDescent="0.2">
      <c r="A970" s="522"/>
      <c r="B970" s="522"/>
      <c r="C970" s="522"/>
      <c r="D970" s="531"/>
      <c r="E970" s="523"/>
    </row>
    <row r="971" spans="1:5" x14ac:dyDescent="0.2">
      <c r="A971" s="522"/>
      <c r="B971" s="522"/>
      <c r="C971" s="522"/>
      <c r="D971" s="531"/>
      <c r="E971" s="523"/>
    </row>
    <row r="972" spans="1:5" x14ac:dyDescent="0.2">
      <c r="A972" s="525" t="s">
        <v>1058</v>
      </c>
      <c r="B972" s="525"/>
      <c r="C972" s="525"/>
      <c r="D972" s="525"/>
      <c r="E972" s="527">
        <f>(E966-E967-E968)+(E969+E970+E971)</f>
        <v>0</v>
      </c>
    </row>
    <row r="973" spans="1:5" x14ac:dyDescent="0.2">
      <c r="A973" s="522" t="s">
        <v>991</v>
      </c>
      <c r="B973" s="522" t="s">
        <v>991</v>
      </c>
      <c r="C973" s="522">
        <v>2400</v>
      </c>
      <c r="D973" s="531">
        <v>6810</v>
      </c>
      <c r="E973" s="523">
        <f>SUMIFS('Accounting data'!$G$2:$G$37000,'Accounting data'!$J$2:$J$37000,"24*",'Accounting data'!$K$2:$K$37000,"681*")</f>
        <v>0</v>
      </c>
    </row>
    <row r="974" spans="1:5" x14ac:dyDescent="0.2">
      <c r="A974" s="522" t="s">
        <v>992</v>
      </c>
      <c r="B974" s="522" t="s">
        <v>991</v>
      </c>
      <c r="C974" s="522">
        <v>2400</v>
      </c>
      <c r="D974" s="531">
        <v>6810</v>
      </c>
      <c r="E974" s="523">
        <f>SUMIFS('Accounting data'!$G$2:$G$37000,'Accounting data'!$H$2:$H$37000,"9999*",'Accounting data'!$J$2:$J$37000,"24*",'Accounting data'!$K$2:$K$37000,"681*")</f>
        <v>0</v>
      </c>
    </row>
    <row r="975" spans="1:5" x14ac:dyDescent="0.2">
      <c r="A975" s="522" t="s">
        <v>991</v>
      </c>
      <c r="B975" s="522" t="s">
        <v>993</v>
      </c>
      <c r="C975" s="522">
        <v>2400</v>
      </c>
      <c r="D975" s="531">
        <v>6810</v>
      </c>
      <c r="E975" s="523">
        <f>SUMIFS('Accounting data'!$G$2:$G$37000,'Accounting data'!$I$2:$I$37000,"7*",'Accounting data'!$J$2:$J$37000,"24*",'Accounting data'!$K$2:$K$37000,"681*")+SUMIFS('Accounting data'!$G$2:$G$37000,'Accounting data'!$I$2:$I$37000,"8*",'Accounting data'!$J$2:$J$37000,"24*",'Accounting data'!$K$2:$K$37000,"681*")+SUMIFS('Accounting data'!$G$2:$G$37000,'Accounting data'!$I$2:$I$37000,"9*",'Accounting data'!$J$2:$J$37000,"24*",'Accounting data'!$K$2:$K$37000,"681*")</f>
        <v>0</v>
      </c>
    </row>
    <row r="976" spans="1:5" x14ac:dyDescent="0.2">
      <c r="A976" s="524" t="s">
        <v>992</v>
      </c>
      <c r="B976" s="522" t="s">
        <v>993</v>
      </c>
      <c r="C976" s="522">
        <v>2400</v>
      </c>
      <c r="D976" s="531">
        <v>6810</v>
      </c>
      <c r="E976" s="523">
        <f>SUMIFS('Accounting data'!$G$2:$G$37000,'Accounting data'!$H$2:$H$37000,"9999*",'Accounting data'!$I$2:$I$37000,"7*",'Accounting data'!$J$2:$J$37000,"24*",'Accounting data'!$K$2:$K$37000,"681*")+SUMIFS('Accounting data'!$G$2:$G$37000,'Accounting data'!$H$2:$H$37000,"9999*",'Accounting data'!$I$2:$I$37000,"8*",'Accounting data'!$J$2:$J$37000,"24*",'Accounting data'!$K$2:$K$37000,"681*")+SUMIFS('Accounting data'!$G$2:$G$37000,'Accounting data'!$H$2:$H$37000,"9999*",'Accounting data'!$I$2:$I$37000,"9*",'Accounting data'!$J$2:$J$37000,"24*",'Accounting data'!$K$2:$K$37000,"681*")</f>
        <v>0</v>
      </c>
    </row>
    <row r="979" spans="1:5" x14ac:dyDescent="0.2">
      <c r="A979" s="525" t="s">
        <v>1059</v>
      </c>
      <c r="B979" s="525"/>
      <c r="C979" s="525"/>
      <c r="D979" s="525"/>
      <c r="E979" s="527">
        <f>(E973-E974-E975)+(E976+E977+E978)</f>
        <v>0</v>
      </c>
    </row>
    <row r="980" spans="1:5" x14ac:dyDescent="0.2">
      <c r="A980" s="522" t="s">
        <v>991</v>
      </c>
      <c r="B980" s="522" t="s">
        <v>991</v>
      </c>
      <c r="C980" s="522">
        <v>2500</v>
      </c>
      <c r="D980" s="531">
        <v>6810</v>
      </c>
      <c r="E980" s="523">
        <f>SUMIFS('Accounting data'!$G$2:$G$37000,'Accounting data'!$J$2:$J$37000,"25*",'Accounting data'!$K$2:$K$37000,"681*")</f>
        <v>0</v>
      </c>
    </row>
    <row r="981" spans="1:5" x14ac:dyDescent="0.2">
      <c r="A981" s="522" t="s">
        <v>992</v>
      </c>
      <c r="B981" s="522" t="s">
        <v>991</v>
      </c>
      <c r="C981" s="522">
        <v>2500</v>
      </c>
      <c r="D981" s="531">
        <v>6810</v>
      </c>
      <c r="E981" s="523">
        <f>SUMIFS('Accounting data'!$G$2:$G$37000,'Accounting data'!$H$2:$H$37000,"9999*",'Accounting data'!$J$2:$J$37000,"25*",'Accounting data'!$K$2:$K$37000,"681*")</f>
        <v>0</v>
      </c>
    </row>
    <row r="982" spans="1:5" x14ac:dyDescent="0.2">
      <c r="A982" s="522" t="s">
        <v>991</v>
      </c>
      <c r="B982" s="522" t="s">
        <v>993</v>
      </c>
      <c r="C982" s="522">
        <v>2500</v>
      </c>
      <c r="D982" s="531">
        <v>6810</v>
      </c>
      <c r="E982" s="523">
        <f>SUMIFS('Accounting data'!$G$2:$G$37000,'Accounting data'!$I$2:$I$37000,"7*",'Accounting data'!$J$2:$J$37000,"25*",'Accounting data'!$K$2:$K$37000,"681*")+SUMIFS('Accounting data'!$G$2:$G$37000,'Accounting data'!$I$2:$I$37000,"8*",'Accounting data'!$J$2:$J$37000,"25*",'Accounting data'!$K$2:$K$37000,"681*")+SUMIFS('Accounting data'!$G$2:$G$37000,'Accounting data'!$I$2:$I$37000,"9*",'Accounting data'!$J$2:$J$37000,"25*",'Accounting data'!$K$2:$K$37000,"681*")</f>
        <v>0</v>
      </c>
    </row>
    <row r="983" spans="1:5" x14ac:dyDescent="0.2">
      <c r="A983" s="524" t="s">
        <v>992</v>
      </c>
      <c r="B983" s="522" t="s">
        <v>993</v>
      </c>
      <c r="C983" s="522">
        <v>2500</v>
      </c>
      <c r="D983" s="531">
        <v>6810</v>
      </c>
      <c r="E983" s="523">
        <f>SUMIFS('Accounting data'!$G$2:$G$37000,'Accounting data'!$H$2:$H$37000,"9999*",'Accounting data'!$I$2:$I$37000,"7*",'Accounting data'!$J$2:$J$37000,"25*",'Accounting data'!$K$2:$K$37000,"681*")+SUMIFS('Accounting data'!$G$2:$G$37000,'Accounting data'!$H$2:$H$37000,"9999*",'Accounting data'!$I$2:$I$37000,"8*",'Accounting data'!$J$2:$J$37000,"25*",'Accounting data'!$K$2:$K$37000,"681*")+SUMIFS('Accounting data'!$G$2:$G$37000,'Accounting data'!$H$2:$H$37000,"9999*",'Accounting data'!$I$2:$I$37000,"9*",'Accounting data'!$J$2:$J$37000,"25*",'Accounting data'!$K$2:$K$37000,"681*")</f>
        <v>0</v>
      </c>
    </row>
    <row r="984" spans="1:5" x14ac:dyDescent="0.2">
      <c r="A984" s="522"/>
      <c r="B984" s="522"/>
      <c r="C984" s="522"/>
      <c r="D984" s="531"/>
      <c r="E984" s="523"/>
    </row>
    <row r="985" spans="1:5" x14ac:dyDescent="0.2">
      <c r="A985" s="522"/>
      <c r="B985" s="522"/>
      <c r="C985" s="522"/>
      <c r="D985" s="531"/>
      <c r="E985" s="523"/>
    </row>
    <row r="986" spans="1:5" x14ac:dyDescent="0.2">
      <c r="A986" s="525" t="s">
        <v>1060</v>
      </c>
      <c r="B986" s="525"/>
      <c r="C986" s="525"/>
      <c r="D986" s="525"/>
      <c r="E986" s="527">
        <f>(E980-E981-E982)+(E983+E984+E985)</f>
        <v>0</v>
      </c>
    </row>
    <row r="987" spans="1:5" x14ac:dyDescent="0.2">
      <c r="A987" s="522" t="s">
        <v>991</v>
      </c>
      <c r="B987" s="522" t="s">
        <v>991</v>
      </c>
      <c r="C987" s="522">
        <v>2900</v>
      </c>
      <c r="D987" s="531">
        <v>6810</v>
      </c>
      <c r="E987" s="523">
        <f>SUMIFS('Accounting data'!$G$2:$G$37000,'Accounting data'!$J$2:$J$37000,"29*",'Accounting data'!$K$2:$K$37000,"681*")</f>
        <v>0</v>
      </c>
    </row>
    <row r="988" spans="1:5" x14ac:dyDescent="0.2">
      <c r="A988" s="522" t="s">
        <v>992</v>
      </c>
      <c r="B988" s="522" t="s">
        <v>991</v>
      </c>
      <c r="C988" s="522">
        <v>2900</v>
      </c>
      <c r="D988" s="531">
        <v>6810</v>
      </c>
      <c r="E988" s="523">
        <f>SUMIFS('Accounting data'!$G$2:$G$37000,'Accounting data'!$H$2:$H$37000,"9999*",'Accounting data'!$J$2:$J$37000,"29*",'Accounting data'!$K$2:$K$37000,"681*")</f>
        <v>0</v>
      </c>
    </row>
    <row r="989" spans="1:5" x14ac:dyDescent="0.2">
      <c r="A989" s="522" t="s">
        <v>991</v>
      </c>
      <c r="B989" s="522" t="s">
        <v>993</v>
      </c>
      <c r="C989" s="522">
        <v>2900</v>
      </c>
      <c r="D989" s="531">
        <v>6810</v>
      </c>
      <c r="E989" s="523">
        <f>SUMIFS('Accounting data'!$G$2:$G$37000,'Accounting data'!$I$2:$I$37000,"7*",'Accounting data'!$J$2:$J$37000,"29*",'Accounting data'!$K$2:$K$37000,"681*")+SUMIFS('Accounting data'!$G$2:$G$37000,'Accounting data'!$I$2:$I$37000,"8*",'Accounting data'!$J$2:$J$37000,"29*",'Accounting data'!$K$2:$K$37000,"681*")+SUMIFS('Accounting data'!$G$2:$G$37000,'Accounting data'!$I$2:$I$37000,"9*",'Accounting data'!$J$2:$J$37000,"29*",'Accounting data'!$K$2:$K$37000,"681*")</f>
        <v>0</v>
      </c>
    </row>
    <row r="990" spans="1:5" x14ac:dyDescent="0.2">
      <c r="A990" s="524" t="s">
        <v>992</v>
      </c>
      <c r="B990" s="522" t="s">
        <v>993</v>
      </c>
      <c r="C990" s="522">
        <v>2900</v>
      </c>
      <c r="D990" s="531">
        <v>6810</v>
      </c>
      <c r="E990" s="523">
        <f>SUMIFS('Accounting data'!$G$2:$G$37000,'Accounting data'!$H$2:$H$37000,"9999*",'Accounting data'!$I$2:$I$37000,"7*",'Accounting data'!$J$2:$J$37000,"29*",'Accounting data'!$K$2:$K$37000,"681*")+SUMIFS('Accounting data'!$G$2:$G$37000,'Accounting data'!$H$2:$H$37000,"9999*",'Accounting data'!$I$2:$I$37000,"8*",'Accounting data'!$J$2:$J$37000,"29*",'Accounting data'!$K$2:$K$37000,"681*")+SUMIFS('Accounting data'!$G$2:$G$37000,'Accounting data'!$H$2:$H$37000,"9999*",'Accounting data'!$I$2:$I$37000,"9*",'Accounting data'!$J$2:$J$37000,"29*",'Accounting data'!$K$2:$K$37000,"681*")</f>
        <v>0</v>
      </c>
    </row>
    <row r="993" spans="1:5" x14ac:dyDescent="0.2">
      <c r="A993" s="525" t="s">
        <v>1061</v>
      </c>
      <c r="B993" s="525"/>
      <c r="C993" s="525"/>
      <c r="D993" s="525"/>
      <c r="E993" s="527">
        <f>(E987-E988-E989)+(E990+E991+E992)</f>
        <v>0</v>
      </c>
    </row>
    <row r="994" spans="1:5" x14ac:dyDescent="0.2">
      <c r="A994" s="522" t="s">
        <v>991</v>
      </c>
      <c r="B994" s="522" t="s">
        <v>991</v>
      </c>
      <c r="C994" s="522">
        <v>2600</v>
      </c>
      <c r="D994" s="531">
        <v>6810</v>
      </c>
      <c r="E994" s="523">
        <f>SUMIFS('Accounting data'!$G$2:$G$37000,'Accounting data'!$J$2:$J$37000,"26*",'Accounting data'!$K$2:$K$37000,"681*")</f>
        <v>1010</v>
      </c>
    </row>
    <row r="995" spans="1:5" x14ac:dyDescent="0.2">
      <c r="A995" s="522" t="s">
        <v>992</v>
      </c>
      <c r="B995" s="522" t="s">
        <v>991</v>
      </c>
      <c r="C995" s="522">
        <v>2600</v>
      </c>
      <c r="D995" s="531">
        <v>6810</v>
      </c>
      <c r="E995" s="523">
        <f>SUMIFS('Accounting data'!$G$2:$G$37000,'Accounting data'!$H$2:$H$37000,"9999*",'Accounting data'!$J$2:$J$37000,"26*",'Accounting data'!$K$2:$K$37000,"681*")</f>
        <v>0</v>
      </c>
    </row>
    <row r="996" spans="1:5" x14ac:dyDescent="0.2">
      <c r="A996" s="522" t="s">
        <v>991</v>
      </c>
      <c r="B996" s="522" t="s">
        <v>993</v>
      </c>
      <c r="C996" s="522">
        <v>2600</v>
      </c>
      <c r="D996" s="531">
        <v>6810</v>
      </c>
      <c r="E996" s="523">
        <f>SUMIFS('Accounting data'!$G$2:$G$37000,'Accounting data'!$I$2:$I$37000,"7*",'Accounting data'!$J$2:$J$37000,"26*",'Accounting data'!$K$2:$K$37000,"681*")+SUMIFS('Accounting data'!$G$2:$G$37000,'Accounting data'!$I$2:$I$37000,"8*",'Accounting data'!$J$2:$J$37000,"26*",'Accounting data'!$K$2:$K$37000,"681*")+SUMIFS('Accounting data'!$G$2:$G$37000,'Accounting data'!$I$2:$I$37000,"9*",'Accounting data'!$J$2:$J$37000,"26*",'Accounting data'!$K$2:$K$37000,"681*")</f>
        <v>0</v>
      </c>
    </row>
    <row r="997" spans="1:5" x14ac:dyDescent="0.2">
      <c r="A997" s="524" t="s">
        <v>992</v>
      </c>
      <c r="B997" s="522" t="s">
        <v>993</v>
      </c>
      <c r="C997" s="522">
        <v>2600</v>
      </c>
      <c r="D997" s="531">
        <v>6810</v>
      </c>
      <c r="E997" s="523">
        <f>SUMIFS('Accounting data'!$G$2:$G$37000,'Accounting data'!$H$2:$H$37000,"9999*",'Accounting data'!$I$2:$I$37000,"7*",'Accounting data'!$J$2:$J$37000,"26*",'Accounting data'!$K$2:$K$37000,"681*")+SUMIFS('Accounting data'!$G$2:$G$37000,'Accounting data'!$H$2:$H$37000,"9999*",'Accounting data'!$I$2:$I$37000,"8*",'Accounting data'!$J$2:$J$37000,"26*",'Accounting data'!$K$2:$K$37000,"681*")+SUMIFS('Accounting data'!$G$2:$G$37000,'Accounting data'!$H$2:$H$37000,"9999*",'Accounting data'!$I$2:$I$37000,"9*",'Accounting data'!$J$2:$J$37000,"26*",'Accounting data'!$K$2:$K$37000,"681*")</f>
        <v>0</v>
      </c>
    </row>
    <row r="998" spans="1:5" x14ac:dyDescent="0.2">
      <c r="A998" s="522"/>
      <c r="B998" s="522"/>
      <c r="C998" s="522"/>
      <c r="D998" s="531"/>
      <c r="E998" s="523"/>
    </row>
    <row r="999" spans="1:5" x14ac:dyDescent="0.2">
      <c r="A999" s="522"/>
      <c r="B999" s="522"/>
      <c r="C999" s="522"/>
      <c r="D999" s="531"/>
      <c r="E999" s="523"/>
    </row>
    <row r="1000" spans="1:5" x14ac:dyDescent="0.2">
      <c r="A1000" s="525" t="s">
        <v>1062</v>
      </c>
      <c r="B1000" s="525"/>
      <c r="C1000" s="525"/>
      <c r="D1000" s="525"/>
      <c r="E1000" s="527">
        <f>(E994-E995-E996)+(E997+E998+E999)</f>
        <v>1010</v>
      </c>
    </row>
    <row r="1001" spans="1:5" x14ac:dyDescent="0.2">
      <c r="A1001" s="522" t="s">
        <v>991</v>
      </c>
      <c r="B1001" s="522" t="s">
        <v>991</v>
      </c>
      <c r="C1001" s="522">
        <v>2700</v>
      </c>
      <c r="D1001" s="531">
        <v>6810</v>
      </c>
      <c r="E1001" s="523">
        <f>SUMIFS('Accounting data'!$G$2:$G$37000,'Accounting data'!$J$2:$J$37000,"27*",'Accounting data'!$K$2:$K$37000,"681*")</f>
        <v>0</v>
      </c>
    </row>
    <row r="1002" spans="1:5" x14ac:dyDescent="0.2">
      <c r="A1002" s="522" t="s">
        <v>992</v>
      </c>
      <c r="B1002" s="522" t="s">
        <v>991</v>
      </c>
      <c r="C1002" s="522">
        <v>2700</v>
      </c>
      <c r="D1002" s="531">
        <v>6810</v>
      </c>
      <c r="E1002" s="523">
        <f>SUMIFS('Accounting data'!$G$2:$G$37000,'Accounting data'!$H$2:$H$37000,"9999*",'Accounting data'!$J$2:$J$37000,"27*",'Accounting data'!$K$2:$K$37000,"681*")</f>
        <v>0</v>
      </c>
    </row>
    <row r="1003" spans="1:5" x14ac:dyDescent="0.2">
      <c r="A1003" s="522" t="s">
        <v>991</v>
      </c>
      <c r="B1003" s="522" t="s">
        <v>993</v>
      </c>
      <c r="C1003" s="522">
        <v>2700</v>
      </c>
      <c r="D1003" s="531">
        <v>6810</v>
      </c>
      <c r="E1003" s="523">
        <f>SUMIFS('Accounting data'!$G$2:$G$37000,'Accounting data'!$I$2:$I$37000,"7*",'Accounting data'!$J$2:$J$37000,"27*",'Accounting data'!$K$2:$K$37000,"681*")+SUMIFS('Accounting data'!$G$2:$G$37000,'Accounting data'!$I$2:$I$37000,"8*",'Accounting data'!$J$2:$J$37000,"27*",'Accounting data'!$K$2:$K$37000,"681*")+SUMIFS('Accounting data'!$G$2:$G$37000,'Accounting data'!$I$2:$I$37000,"9*",'Accounting data'!$J$2:$J$37000,"27*",'Accounting data'!$K$2:$K$37000,"681*")</f>
        <v>0</v>
      </c>
    </row>
    <row r="1004" spans="1:5" x14ac:dyDescent="0.2">
      <c r="A1004" s="524" t="s">
        <v>992</v>
      </c>
      <c r="B1004" s="522" t="s">
        <v>993</v>
      </c>
      <c r="C1004" s="522">
        <v>2700</v>
      </c>
      <c r="D1004" s="531">
        <v>6810</v>
      </c>
      <c r="E1004" s="523">
        <f>SUMIFS('Accounting data'!$G$2:$G$37000,'Accounting data'!$H$2:$H$37000,"9999*",'Accounting data'!$I$2:$I$37000,"7*",'Accounting data'!$J$2:$J$37000,"27*",'Accounting data'!$K$2:$K$37000,"681*")+SUMIFS('Accounting data'!$G$2:$G$37000,'Accounting data'!$H$2:$H$37000,"9999*",'Accounting data'!$I$2:$I$37000,"8*",'Accounting data'!$J$2:$J$37000,"27*",'Accounting data'!$K$2:$K$37000,"681*")+SUMIFS('Accounting data'!$G$2:$G$37000,'Accounting data'!$H$2:$H$37000,"9999*",'Accounting data'!$I$2:$I$37000,"9*",'Accounting data'!$J$2:$J$37000,"27*",'Accounting data'!$K$2:$K$37000,"681*")</f>
        <v>0</v>
      </c>
    </row>
    <row r="1005" spans="1:5" x14ac:dyDescent="0.2">
      <c r="A1005" s="522"/>
      <c r="B1005" s="522"/>
      <c r="C1005" s="522"/>
      <c r="D1005" s="531"/>
      <c r="E1005" s="523"/>
    </row>
    <row r="1006" spans="1:5" x14ac:dyDescent="0.2">
      <c r="A1006" s="522"/>
      <c r="B1006" s="522"/>
      <c r="C1006" s="522"/>
      <c r="D1006" s="531"/>
      <c r="E1006" s="523"/>
    </row>
    <row r="1007" spans="1:5" x14ac:dyDescent="0.2">
      <c r="A1007" s="525" t="s">
        <v>1063</v>
      </c>
      <c r="B1007" s="525"/>
      <c r="C1007" s="525"/>
      <c r="D1007" s="525"/>
      <c r="E1007" s="527">
        <f>(E1001-E1002-E1003)+(E1004+E1005+E1006)</f>
        <v>0</v>
      </c>
    </row>
    <row r="1008" spans="1:5" x14ac:dyDescent="0.2">
      <c r="A1008" s="522" t="s">
        <v>991</v>
      </c>
      <c r="B1008" s="522" t="s">
        <v>991</v>
      </c>
      <c r="C1008" s="522">
        <v>3100</v>
      </c>
      <c r="D1008" s="531">
        <v>6810</v>
      </c>
      <c r="E1008" s="523">
        <f>SUMIFS('Accounting data'!$G$2:$G$37000,'Accounting data'!$J$2:$J$37000,"31*",'Accounting data'!$K$2:$K$37000,"681*")</f>
        <v>0</v>
      </c>
    </row>
    <row r="1009" spans="1:5" x14ac:dyDescent="0.2">
      <c r="A1009" s="522" t="s">
        <v>992</v>
      </c>
      <c r="B1009" s="522" t="s">
        <v>991</v>
      </c>
      <c r="C1009" s="522">
        <v>3100</v>
      </c>
      <c r="D1009" s="531">
        <v>6810</v>
      </c>
      <c r="E1009" s="523">
        <f>SUMIFS('Accounting data'!$G$2:$G$37000,'Accounting data'!$H$2:$H$37000,"9999*",'Accounting data'!$J$2:$J$37000,"31*",'Accounting data'!$K$2:$K$37000,"681*")</f>
        <v>0</v>
      </c>
    </row>
    <row r="1010" spans="1:5" x14ac:dyDescent="0.2">
      <c r="A1010" s="522" t="s">
        <v>991</v>
      </c>
      <c r="B1010" s="522" t="s">
        <v>993</v>
      </c>
      <c r="C1010" s="522">
        <v>3100</v>
      </c>
      <c r="D1010" s="531">
        <v>6810</v>
      </c>
      <c r="E1010" s="523">
        <f>SUMIFS('Accounting data'!$G$2:$G$37000,'Accounting data'!$I$2:$I$37000,"7*",'Accounting data'!$J$2:$J$37000,"31*",'Accounting data'!$K$2:$K$37000,"681*")+SUMIFS('Accounting data'!$G$2:$G$37000,'Accounting data'!$I$2:$I$37000,"8*",'Accounting data'!$J$2:$J$37000,"31*",'Accounting data'!$K$2:$K$37000,"681*")+SUMIFS('Accounting data'!$G$2:$G$37000,'Accounting data'!$I$2:$I$37000,"9*",'Accounting data'!$J$2:$J$37000,"31*",'Accounting data'!$K$2:$K$37000,"681*")</f>
        <v>0</v>
      </c>
    </row>
    <row r="1011" spans="1:5" x14ac:dyDescent="0.2">
      <c r="A1011" s="524" t="s">
        <v>992</v>
      </c>
      <c r="B1011" s="522" t="s">
        <v>993</v>
      </c>
      <c r="C1011" s="522">
        <v>3100</v>
      </c>
      <c r="D1011" s="531">
        <v>6810</v>
      </c>
      <c r="E1011" s="523">
        <f>SUMIFS('Accounting data'!$G$2:$G$37000,'Accounting data'!$H$2:$H$37000,"9999*",'Accounting data'!$I$2:$I$37000,"7*",'Accounting data'!$J$2:$J$37000,"31*",'Accounting data'!$K$2:$K$37000,"681*")+SUMIFS('Accounting data'!$G$2:$G$37000,'Accounting data'!$H$2:$H$37000,"9999*",'Accounting data'!$I$2:$I$37000,"8*",'Accounting data'!$J$2:$J$37000,"31*",'Accounting data'!$K$2:$K$37000,"681*")+SUMIFS('Accounting data'!$G$2:$G$37000,'Accounting data'!$H$2:$H$37000,"9999*",'Accounting data'!$I$2:$I$37000,"9*",'Accounting data'!$J$2:$J$37000,"31*",'Accounting data'!$K$2:$K$37000,"681*")</f>
        <v>0</v>
      </c>
    </row>
    <row r="1012" spans="1:5" x14ac:dyDescent="0.2">
      <c r="A1012" s="522"/>
      <c r="B1012" s="522"/>
      <c r="C1012" s="522"/>
      <c r="D1012" s="531"/>
      <c r="E1012" s="523"/>
    </row>
    <row r="1013" spans="1:5" x14ac:dyDescent="0.2">
      <c r="A1013" s="522"/>
      <c r="B1013" s="522"/>
      <c r="C1013" s="522"/>
      <c r="D1013" s="531"/>
      <c r="E1013" s="523"/>
    </row>
    <row r="1014" spans="1:5" x14ac:dyDescent="0.2">
      <c r="A1014" s="525" t="s">
        <v>1064</v>
      </c>
      <c r="B1014" s="525"/>
      <c r="C1014" s="525"/>
      <c r="D1014" s="525"/>
      <c r="E1014" s="527">
        <f>(E1008-E1009-E1010)+(E1011+E1012+E1013)</f>
        <v>0</v>
      </c>
    </row>
    <row r="1015" spans="1:5" x14ac:dyDescent="0.2">
      <c r="A1015" s="522"/>
      <c r="B1015" s="522"/>
      <c r="C1015" s="522"/>
      <c r="D1015" s="531"/>
      <c r="E1015" s="523"/>
    </row>
    <row r="1016" spans="1:5" x14ac:dyDescent="0.2">
      <c r="A1016" s="522"/>
      <c r="B1016" s="522"/>
      <c r="C1016" s="522"/>
      <c r="D1016" s="531"/>
      <c r="E1016" s="523"/>
    </row>
    <row r="1017" spans="1:5" x14ac:dyDescent="0.2">
      <c r="A1017" s="522"/>
      <c r="B1017" s="522"/>
      <c r="C1017" s="522"/>
      <c r="D1017" s="531"/>
      <c r="E1017" s="523"/>
    </row>
    <row r="1018" spans="1:5" x14ac:dyDescent="0.2">
      <c r="A1018" s="524"/>
      <c r="B1018" s="522"/>
      <c r="C1018" s="522"/>
      <c r="D1018" s="531"/>
      <c r="E1018" s="523"/>
    </row>
    <row r="1019" spans="1:5" x14ac:dyDescent="0.2">
      <c r="A1019" s="522"/>
      <c r="B1019" s="522"/>
      <c r="C1019" s="522"/>
      <c r="D1019" s="531"/>
      <c r="E1019" s="523"/>
    </row>
    <row r="1020" spans="1:5" x14ac:dyDescent="0.2">
      <c r="A1020" s="522"/>
      <c r="B1020" s="522"/>
      <c r="C1020" s="522"/>
      <c r="D1020" s="531"/>
      <c r="E1020" s="523"/>
    </row>
    <row r="1021" spans="1:5" x14ac:dyDescent="0.2">
      <c r="A1021" s="525"/>
      <c r="B1021" s="525"/>
      <c r="C1021" s="525"/>
      <c r="D1021" s="525"/>
      <c r="E1021" s="527"/>
    </row>
    <row r="1022" spans="1:5" x14ac:dyDescent="0.2">
      <c r="A1022" s="522" t="s">
        <v>991</v>
      </c>
      <c r="B1022" s="522" t="s">
        <v>991</v>
      </c>
      <c r="C1022" s="522">
        <v>3400</v>
      </c>
      <c r="D1022" s="531">
        <v>6810</v>
      </c>
      <c r="E1022" s="523">
        <f>SUMIFS('Accounting data'!$G$2:$G$37000,'Accounting data'!$J$2:$J$37000,"34*",'Accounting data'!$K$2:$K$37000,"681*")</f>
        <v>0</v>
      </c>
    </row>
    <row r="1023" spans="1:5" x14ac:dyDescent="0.2">
      <c r="A1023" s="522" t="s">
        <v>992</v>
      </c>
      <c r="B1023" s="522" t="s">
        <v>991</v>
      </c>
      <c r="C1023" s="522">
        <v>3400</v>
      </c>
      <c r="D1023" s="531">
        <v>6810</v>
      </c>
      <c r="E1023" s="523">
        <f>SUMIFS('Accounting data'!$G$2:$G$37000,'Accounting data'!$H$2:$H$37000,"9999*",'Accounting data'!$J$2:$J$37000,"34*",'Accounting data'!$K$2:$K$37000,"681*")</f>
        <v>0</v>
      </c>
    </row>
    <row r="1024" spans="1:5" x14ac:dyDescent="0.2">
      <c r="A1024" s="522" t="s">
        <v>991</v>
      </c>
      <c r="B1024" s="522" t="s">
        <v>993</v>
      </c>
      <c r="C1024" s="522">
        <v>3400</v>
      </c>
      <c r="D1024" s="531">
        <v>6810</v>
      </c>
      <c r="E1024" s="523">
        <f>SUMIFS('Accounting data'!$G$2:$G$37000,'Accounting data'!$I$2:$I$37000,"7*",'Accounting data'!$J$2:$J$37000,"34*",'Accounting data'!$K$2:$K$37000,"681*")+SUMIFS('Accounting data'!$G$2:$G$37000,'Accounting data'!$I$2:$I$37000,"8*",'Accounting data'!$J$2:$J$37000,"34*",'Accounting data'!$K$2:$K$37000,"681*")+SUMIFS('Accounting data'!$G$2:$G$37000,'Accounting data'!$I$2:$I$37000,"9*",'Accounting data'!$J$2:$J$37000,"34*",'Accounting data'!$K$2:$K$37000,"681*")</f>
        <v>0</v>
      </c>
    </row>
    <row r="1025" spans="1:5" x14ac:dyDescent="0.2">
      <c r="A1025" s="524" t="s">
        <v>992</v>
      </c>
      <c r="B1025" s="522" t="s">
        <v>993</v>
      </c>
      <c r="C1025" s="522">
        <v>3400</v>
      </c>
      <c r="D1025" s="531">
        <v>6810</v>
      </c>
      <c r="E1025" s="523">
        <f>SUMIFS('Accounting data'!$G$2:$G$37000,'Accounting data'!$H$2:$H$37000,"9999*",'Accounting data'!$I$2:$I$37000,"7*",'Accounting data'!$J$2:$J$37000,"34*",'Accounting data'!$K$2:$K$37000,"681*")+SUMIFS('Accounting data'!$G$2:$G$37000,'Accounting data'!$H$2:$H$37000,"9999*",'Accounting data'!$I$2:$I$37000,"8*",'Accounting data'!$J$2:$J$37000,"34*",'Accounting data'!$K$2:$K$37000,"681*")+SUMIFS('Accounting data'!$G$2:$G$37000,'Accounting data'!$H$2:$H$37000,"9999*",'Accounting data'!$I$2:$I$37000,"9*",'Accounting data'!$J$2:$J$37000,"34*",'Accounting data'!$K$2:$K$37000,"681*")</f>
        <v>0</v>
      </c>
    </row>
    <row r="1026" spans="1:5" x14ac:dyDescent="0.2">
      <c r="A1026" s="522"/>
      <c r="B1026" s="522"/>
      <c r="C1026" s="522"/>
      <c r="D1026" s="531"/>
      <c r="E1026" s="523"/>
    </row>
    <row r="1027" spans="1:5" x14ac:dyDescent="0.2">
      <c r="A1027" s="522"/>
      <c r="B1027" s="522"/>
      <c r="C1027" s="522"/>
      <c r="D1027" s="531"/>
      <c r="E1027" s="523"/>
    </row>
    <row r="1028" spans="1:5" x14ac:dyDescent="0.2">
      <c r="A1028" s="525" t="s">
        <v>1065</v>
      </c>
      <c r="B1028" s="525"/>
      <c r="C1028" s="525"/>
      <c r="D1028" s="525"/>
      <c r="E1028" s="527">
        <f>(E1022-E1023-E1024)+(E1025+E1026+E1027)</f>
        <v>0</v>
      </c>
    </row>
    <row r="1029" spans="1:5" x14ac:dyDescent="0.2">
      <c r="A1029" s="522" t="s">
        <v>991</v>
      </c>
      <c r="B1029" s="522" t="s">
        <v>991</v>
      </c>
      <c r="C1029" s="522">
        <v>4000</v>
      </c>
      <c r="D1029" s="531">
        <v>6810</v>
      </c>
      <c r="E1029" s="523">
        <f>SUMIFS('Accounting data'!$G$2:$G$37000,'Accounting data'!$J$2:$J$37000,"4*",'Accounting data'!$K$2:$K$37000,"681*")</f>
        <v>0</v>
      </c>
    </row>
    <row r="1030" spans="1:5" x14ac:dyDescent="0.2">
      <c r="A1030" s="522" t="s">
        <v>992</v>
      </c>
      <c r="B1030" s="522" t="s">
        <v>991</v>
      </c>
      <c r="C1030" s="522">
        <v>4000</v>
      </c>
      <c r="D1030" s="531">
        <v>6810</v>
      </c>
      <c r="E1030" s="523">
        <f>SUMIFS('Accounting data'!$G$2:$G$37000,'Accounting data'!$H$2:$H$37000,"9999*",'Accounting data'!$J$2:$J$37000,"4*",'Accounting data'!$K$2:$K$37000,"681*")</f>
        <v>0</v>
      </c>
    </row>
    <row r="1031" spans="1:5" x14ac:dyDescent="0.2">
      <c r="A1031" s="522" t="s">
        <v>991</v>
      </c>
      <c r="B1031" s="522" t="s">
        <v>993</v>
      </c>
      <c r="C1031" s="522">
        <v>4000</v>
      </c>
      <c r="D1031" s="531">
        <v>6810</v>
      </c>
      <c r="E1031" s="523">
        <f>SUMIFS('Accounting data'!$G$2:$G$37000,'Accounting data'!$I$2:$I$37000,"7*",'Accounting data'!$J$2:$J$37000,"4*",'Accounting data'!$K$2:$K$37000,"681*")+SUMIFS('Accounting data'!$G$2:$G$37000,'Accounting data'!$I$2:$I$37000,"8*",'Accounting data'!$J$2:$J$37000,"4*",'Accounting data'!$K$2:$K$37000,"681*")+SUMIFS('Accounting data'!$G$2:$G$37000,'Accounting data'!$I$2:$I$37000,"9*",'Accounting data'!$J$2:$J$37000,"4*",'Accounting data'!$K$2:$K$37000,"681*")</f>
        <v>0</v>
      </c>
    </row>
    <row r="1032" spans="1:5" x14ac:dyDescent="0.2">
      <c r="A1032" s="524" t="s">
        <v>992</v>
      </c>
      <c r="B1032" s="522" t="s">
        <v>993</v>
      </c>
      <c r="C1032" s="522">
        <v>4000</v>
      </c>
      <c r="D1032" s="531">
        <v>6810</v>
      </c>
      <c r="E1032" s="523">
        <f>SUMIFS('Accounting data'!$G$2:$G$37000,'Accounting data'!$H$2:$H$37000,"9999*",'Accounting data'!$I$2:$I$37000,"7*",'Accounting data'!$J$2:$J$37000,"4*",'Accounting data'!$K$2:$K$37000,"681*")+SUMIFS('Accounting data'!$G$2:$G$37000,'Accounting data'!$H$2:$H$37000,"9999*",'Accounting data'!$I$2:$I$37000,"8*",'Accounting data'!$J$2:$J$37000,"4*",'Accounting data'!$K$2:$K$37000,"681*")+SUMIFS('Accounting data'!$G$2:$G$37000,'Accounting data'!$H$2:$H$37000,"9999*",'Accounting data'!$I$2:$I$37000,"9*",'Accounting data'!$J$2:$J$37000,"4*",'Accounting data'!$K$2:$K$37000,"681*")</f>
        <v>0</v>
      </c>
    </row>
    <row r="1033" spans="1:5" x14ac:dyDescent="0.2">
      <c r="A1033" s="522"/>
      <c r="B1033" s="522"/>
      <c r="C1033" s="522"/>
      <c r="D1033" s="531"/>
      <c r="E1033" s="523"/>
    </row>
    <row r="1034" spans="1:5" x14ac:dyDescent="0.2">
      <c r="A1034" s="522"/>
      <c r="B1034" s="522"/>
      <c r="C1034" s="522"/>
      <c r="D1034" s="531"/>
      <c r="E1034" s="523"/>
    </row>
    <row r="1035" spans="1:5" x14ac:dyDescent="0.2">
      <c r="A1035" s="525" t="s">
        <v>1066</v>
      </c>
      <c r="B1035" s="525"/>
      <c r="C1035" s="525"/>
      <c r="D1035" s="525"/>
      <c r="E1035" s="527">
        <f>(E1029-E1030-E1031)+(E1032+E1033+E1034)</f>
        <v>0</v>
      </c>
    </row>
    <row r="1036" spans="1:5" x14ac:dyDescent="0.2">
      <c r="A1036" s="528" t="s">
        <v>1067</v>
      </c>
      <c r="B1036" s="528"/>
      <c r="C1036" s="528"/>
      <c r="D1036" s="528"/>
      <c r="E1036" s="532">
        <f>E951+E958+E965+E972+E979+E986+E993+E1000+E1007+E1014+E1021+E1028</f>
        <v>5228</v>
      </c>
    </row>
    <row r="1037" spans="1:5" x14ac:dyDescent="0.2">
      <c r="A1037" s="522" t="s">
        <v>1007</v>
      </c>
      <c r="B1037" s="522" t="s">
        <v>991</v>
      </c>
      <c r="C1037" s="522">
        <v>1000</v>
      </c>
      <c r="D1037" s="522">
        <v>6810</v>
      </c>
      <c r="E1037" s="523">
        <f>SUMIFS('Accounting data'!$G$2:$G$37000,'Accounting data'!$H$2:$H$37000,"11*",'Accounting data'!$J$2:$J$37000,"1*",'Accounting data'!$K$2:$K$37000,"681*")+SUMIFS('Accounting data'!$G$2:$G$37000,'Accounting data'!$H$2:$H$37000,"12*",'Accounting data'!$J$2:$J$37000,"1*",'Accounting data'!$K$2:$K$37000,"681*")+SUMIFS('Accounting data'!$G$2:$G$37000,'Accounting data'!$H$2:$H$37000,"13*",'Accounting data'!$J$2:$J$37000,"1*",'Accounting data'!$K$2:$K$37000,"681*")</f>
        <v>0</v>
      </c>
    </row>
    <row r="1038" spans="1:5" x14ac:dyDescent="0.2">
      <c r="A1038" s="522" t="s">
        <v>1007</v>
      </c>
      <c r="B1038" s="522" t="s">
        <v>991</v>
      </c>
      <c r="C1038" s="522">
        <v>2000</v>
      </c>
      <c r="D1038" s="522">
        <v>6810</v>
      </c>
      <c r="E1038" s="523">
        <f>SUMIFS('Accounting data'!$G$2:$G$37000,'Accounting data'!$H$2:$H$37000,"11*",'Accounting data'!$J$2:$J$37000,"2*",'Accounting data'!$K$2:$K$37000,"681*")+SUMIFS('Accounting data'!$G$2:$G$37000,'Accounting data'!$H$2:$H$37000,"12*",'Accounting data'!$J$2:$J$37000,"2*",'Accounting data'!$K$2:$K$37000,"681*")+SUMIFS('Accounting data'!$G$2:$G$37000,'Accounting data'!$H$2:$H$37000,"13*",'Accounting data'!$J$2:$J$37000,"2*",'Accounting data'!$K$2:$K$37000,"681*")</f>
        <v>0</v>
      </c>
    </row>
    <row r="1039" spans="1:5" x14ac:dyDescent="0.2">
      <c r="A1039" s="522" t="s">
        <v>1007</v>
      </c>
      <c r="B1039" s="522" t="s">
        <v>991</v>
      </c>
      <c r="C1039" s="522">
        <v>3000</v>
      </c>
      <c r="D1039" s="522">
        <v>6810</v>
      </c>
      <c r="E1039" s="523">
        <f>SUMIFS('Accounting data'!$G$2:$G$37000,'Accounting data'!$H$2:$H$37000,"11*",'Accounting data'!$J$2:$J$37000,"3*",'Accounting data'!$K$2:$K$37000,"681*")+SUMIFS('Accounting data'!$G$2:$G$37000,'Accounting data'!$H$2:$H$37000,"12*",'Accounting data'!$J$2:$J$37000,"3*",'Accounting data'!$K$2:$K$37000,"681*")+SUMIFS('Accounting data'!$G$2:$G$37000,'Accounting data'!$H$2:$H$37000,"13*",'Accounting data'!$J$2:$J$37000,"3*",'Accounting data'!$K$2:$K$37000,"681*")</f>
        <v>0</v>
      </c>
    </row>
    <row r="1040" spans="1:5" x14ac:dyDescent="0.2">
      <c r="A1040" s="522" t="s">
        <v>1007</v>
      </c>
      <c r="B1040" s="524">
        <v>700</v>
      </c>
      <c r="C1040" s="522">
        <v>1000</v>
      </c>
      <c r="D1040" s="522">
        <v>6810</v>
      </c>
      <c r="E1040" s="523">
        <f>SUMIFS('Accounting data'!$G$2:$G$37000,'Accounting data'!$H$2:$H$37000,"11*",'Accounting data'!$I$2:$I$37000,"7*",'Accounting data'!$J$2:$J$37000,"1*",'Accounting data'!$K$2:$K$37000,"681*")+SUMIFS('Accounting data'!$G$2:$G$37000,'Accounting data'!$H$2:$H$37000,"12*",'Accounting data'!$I$2:$I$37000,"7*",'Accounting data'!$J$2:$J$37000,"1*",'Accounting data'!$K$2:$K$37000,"681*")+SUMIFS('Accounting data'!$G$2:$G$37000,'Accounting data'!$H$2:$H$37000,"13*",'Accounting data'!$I$2:$I$37000,"7*",'Accounting data'!$J$2:$J$37000,"1*",'Accounting data'!$K$2:$K$37000,"681*")</f>
        <v>0</v>
      </c>
    </row>
    <row r="1041" spans="1:5" x14ac:dyDescent="0.2">
      <c r="A1041" s="522" t="s">
        <v>1007</v>
      </c>
      <c r="B1041" s="524">
        <v>800</v>
      </c>
      <c r="C1041" s="522">
        <v>1000</v>
      </c>
      <c r="D1041" s="522">
        <v>6810</v>
      </c>
      <c r="E1041" s="523">
        <f>SUMIFS('Accounting data'!$G$2:$G$37000,'Accounting data'!$H$2:$H$37000,"11*",'Accounting data'!$I$2:$I$37000,"8*",'Accounting data'!$J$2:$J$37000,"1*",'Accounting data'!$K$2:$K$37000,"681*")+SUMIFS('Accounting data'!$G$2:$G$37000,'Accounting data'!$H$2:$H$37000,"12*",'Accounting data'!$I$2:$I$37000,"8*",'Accounting data'!$J$2:$J$37000,"1*",'Accounting data'!$K$2:$K$37000,"681*")+SUMIFS('Accounting data'!$G$2:$G$37000,'Accounting data'!$H$2:$H$37000,"13*",'Accounting data'!$I$2:$I$37000,"8*",'Accounting data'!$J$2:$J$37000,"1*",'Accounting data'!$K$2:$K$37000,"681*")</f>
        <v>0</v>
      </c>
    </row>
    <row r="1042" spans="1:5" x14ac:dyDescent="0.2">
      <c r="A1042" s="522" t="s">
        <v>1007</v>
      </c>
      <c r="B1042" s="524">
        <v>900</v>
      </c>
      <c r="C1042" s="522">
        <v>1000</v>
      </c>
      <c r="D1042" s="522">
        <v>6810</v>
      </c>
      <c r="E1042" s="523">
        <f>SUMIFS('Accounting data'!$G$2:$G$37000,'Accounting data'!$H$2:$H$37000,"11*",'Accounting data'!$I$2:$I$37000,"9*",'Accounting data'!$J$2:$J$37000,"1*",'Accounting data'!$K$2:$K$37000,"681*")+SUMIFS('Accounting data'!$G$2:$G$37000,'Accounting data'!$H$2:$H$37000,"12*",'Accounting data'!$I$2:$I$37000,"9*",'Accounting data'!$J$2:$J$37000,"1*",'Accounting data'!$K$2:$K$37000,"681*")+SUMIFS('Accounting data'!$G$2:$G$37000,'Accounting data'!$H$2:$H$37000,"13*",'Accounting data'!$I$2:$I$37000,"9*",'Accounting data'!$J$2:$J$37000,"1*",'Accounting data'!$K$2:$K$37000,"681*")</f>
        <v>0</v>
      </c>
    </row>
    <row r="1043" spans="1:5" x14ac:dyDescent="0.2">
      <c r="A1043" s="522" t="s">
        <v>1007</v>
      </c>
      <c r="B1043" s="524">
        <v>700</v>
      </c>
      <c r="C1043" s="522">
        <v>2000</v>
      </c>
      <c r="D1043" s="522">
        <v>6810</v>
      </c>
      <c r="E1043" s="523">
        <f>SUMIFS('Accounting data'!$G$2:$G$37000,'Accounting data'!$H$2:$H$37000,"11*",'Accounting data'!$I$2:$I$37000,"7*",'Accounting data'!$J$2:$J$37000,"2*",'Accounting data'!$K$2:$K$37000,"681*")+SUMIFS('Accounting data'!$G$2:$G$37000,'Accounting data'!$H$2:$H$37000,"12*",'Accounting data'!$I$2:$I$37000,"7*",'Accounting data'!$J$2:$J$37000,"2*",'Accounting data'!$K$2:$K$37000,"681*")+SUMIFS('Accounting data'!$G$2:$G$37000,'Accounting data'!$H$2:$H$37000,"13*",'Accounting data'!$I$2:$I$37000,"7*",'Accounting data'!$J$2:$J$37000,"2*",'Accounting data'!$K$2:$K$37000,"681*")</f>
        <v>0</v>
      </c>
    </row>
    <row r="1044" spans="1:5" x14ac:dyDescent="0.2">
      <c r="A1044" s="522" t="s">
        <v>1007</v>
      </c>
      <c r="B1044" s="524">
        <v>800</v>
      </c>
      <c r="C1044" s="522">
        <v>2000</v>
      </c>
      <c r="D1044" s="522">
        <v>6810</v>
      </c>
      <c r="E1044" s="523">
        <f>SUMIFS('Accounting data'!$G$2:$G$37000,'Accounting data'!$H$2:$H$37000,"11*",'Accounting data'!$I$2:$I$37000,"8*",'Accounting data'!$J$2:$J$37000,"2*",'Accounting data'!$K$2:$K$37000,"681*")+SUMIFS('Accounting data'!$G$2:$G$37000,'Accounting data'!$H$2:$H$37000,"12*",'Accounting data'!$I$2:$I$37000,"8*",'Accounting data'!$J$2:$J$37000,"2*",'Accounting data'!$K$2:$K$37000,"681*")+SUMIFS('Accounting data'!$G$2:$G$37000,'Accounting data'!$H$2:$H$37000,"13*",'Accounting data'!$I$2:$I$37000,"8*",'Accounting data'!$J$2:$J$37000,"2*",'Accounting data'!$K$2:$K$37000,"681*")</f>
        <v>0</v>
      </c>
    </row>
    <row r="1045" spans="1:5" x14ac:dyDescent="0.2">
      <c r="A1045" s="522" t="s">
        <v>1007</v>
      </c>
      <c r="B1045" s="524">
        <v>900</v>
      </c>
      <c r="C1045" s="522">
        <v>2000</v>
      </c>
      <c r="D1045" s="522">
        <v>6810</v>
      </c>
      <c r="E1045" s="523">
        <f>SUMIFS('Accounting data'!$G$2:$G$37000,'Accounting data'!$H$2:$H$37000,"11*",'Accounting data'!$I$2:$I$37000,"9*",'Accounting data'!$J$2:$J$37000,"2*",'Accounting data'!$K$2:$K$37000,"681*")+SUMIFS('Accounting data'!$G$2:$G$37000,'Accounting data'!$H$2:$H$37000,"12*",'Accounting data'!$I$2:$I$37000,"9*",'Accounting data'!$J$2:$J$37000,"2*",'Accounting data'!$K$2:$K$37000,"681*")+SUMIFS('Accounting data'!$G$2:$G$37000,'Accounting data'!$H$2:$H$37000,"13*",'Accounting data'!$I$2:$I$37000,"9*",'Accounting data'!$J$2:$J$37000,"2*",'Accounting data'!$K$2:$K$37000,"681*")</f>
        <v>0</v>
      </c>
    </row>
    <row r="1046" spans="1:5" x14ac:dyDescent="0.2">
      <c r="A1046" s="522" t="s">
        <v>1007</v>
      </c>
      <c r="B1046" s="524">
        <v>700</v>
      </c>
      <c r="C1046" s="522">
        <v>3000</v>
      </c>
      <c r="D1046" s="522">
        <v>6810</v>
      </c>
      <c r="E1046" s="523">
        <f>SUMIFS('Accounting data'!$G$2:$G$37000,'Accounting data'!$H$2:$H$37000,"11*",'Accounting data'!$I$2:$I$37000,"7*",'Accounting data'!$J$2:$J$37000,"3*",'Accounting data'!$K$2:$K$37000,"681*")+SUMIFS('Accounting data'!$G$2:$G$37000,'Accounting data'!$H$2:$H$37000,"12*",'Accounting data'!$I$2:$I$37000,"7*",'Accounting data'!$J$2:$J$37000,"3*",'Accounting data'!$K$2:$K$37000,"681*")+SUMIFS('Accounting data'!$G$2:$G$37000,'Accounting data'!$H$2:$H$37000,"13*",'Accounting data'!$I$2:$I$37000,"7*",'Accounting data'!$J$2:$J$37000,"3*",'Accounting data'!$K$2:$K$37000,"681*")</f>
        <v>0</v>
      </c>
    </row>
    <row r="1047" spans="1:5" x14ac:dyDescent="0.2">
      <c r="A1047" s="522" t="s">
        <v>1007</v>
      </c>
      <c r="B1047" s="524">
        <v>800</v>
      </c>
      <c r="C1047" s="522">
        <v>3000</v>
      </c>
      <c r="D1047" s="522">
        <v>6810</v>
      </c>
      <c r="E1047" s="523">
        <f>SUMIFS('Accounting data'!$G$2:$G$37000,'Accounting data'!$H$2:$H$37000,"11*",'Accounting data'!$I$2:$I$37000,"8*",'Accounting data'!$J$2:$J$37000,"3*",'Accounting data'!$K$2:$K$37000,"681*")+SUMIFS('Accounting data'!$G$2:$G$37000,'Accounting data'!$H$2:$H$37000,"12*",'Accounting data'!$I$2:$I$37000,"8*",'Accounting data'!$J$2:$J$37000,"3*",'Accounting data'!$K$2:$K$37000,"681*")+SUMIFS('Accounting data'!$G$2:$G$37000,'Accounting data'!$H$2:$H$37000,"13*",'Accounting data'!$I$2:$I$37000,"8*",'Accounting data'!$J$2:$J$37000,"3*",'Accounting data'!$K$2:$K$37000,"681*")</f>
        <v>0</v>
      </c>
    </row>
    <row r="1048" spans="1:5" x14ac:dyDescent="0.2">
      <c r="A1048" s="522" t="s">
        <v>1007</v>
      </c>
      <c r="B1048" s="524">
        <v>900</v>
      </c>
      <c r="C1048" s="522">
        <v>3000</v>
      </c>
      <c r="D1048" s="522">
        <v>6810</v>
      </c>
      <c r="E1048" s="523">
        <f>SUMIFS('Accounting data'!$G$2:$G$37000,'Accounting data'!$H$2:$H$37000,"11*",'Accounting data'!$I$2:$I$37000,"9*",'Accounting data'!$J$2:$J$37000,"3*",'Accounting data'!$K$2:$K$37000,"681*")+SUMIFS('Accounting data'!$G$2:$G$37000,'Accounting data'!$H$2:$H$37000,"12*",'Accounting data'!$I$2:$I$37000,"9*",'Accounting data'!$J$2:$J$37000,"3*",'Accounting data'!$K$2:$K$37000,"681*")+SUMIFS('Accounting data'!$G$2:$G$37000,'Accounting data'!$H$2:$H$37000,"13*",'Accounting data'!$I$2:$I$37000,"9*",'Accounting data'!$J$2:$J$37000,"3*",'Accounting data'!$K$2:$K$37000,"681*")</f>
        <v>0</v>
      </c>
    </row>
    <row r="1049" spans="1:5" x14ac:dyDescent="0.2">
      <c r="A1049" s="525" t="s">
        <v>1068</v>
      </c>
      <c r="B1049" s="525"/>
      <c r="C1049" s="525"/>
      <c r="D1049" s="525"/>
      <c r="E1049" s="527">
        <f>(E1037+E1038+E1039)-(E1040+E1041+E1042+E1043+E1044+E1045+E1046+E1047+E1048)</f>
        <v>0</v>
      </c>
    </row>
    <row r="1050" spans="1:5" x14ac:dyDescent="0.2">
      <c r="A1050" s="522" t="s">
        <v>991</v>
      </c>
      <c r="B1050" s="522" t="s">
        <v>991</v>
      </c>
      <c r="C1050" s="522">
        <v>2300</v>
      </c>
      <c r="D1050" s="531">
        <v>6820</v>
      </c>
      <c r="E1050" s="523">
        <f>SUMIFS('Accounting data'!$G$2:$G$37000,'Accounting data'!$J$2:$J$37000,"23*",'Accounting data'!$K$2:$K$37000,"682*")</f>
        <v>0</v>
      </c>
    </row>
    <row r="1051" spans="1:5" x14ac:dyDescent="0.2">
      <c r="A1051" s="522" t="s">
        <v>992</v>
      </c>
      <c r="B1051" s="522" t="s">
        <v>991</v>
      </c>
      <c r="C1051" s="522">
        <v>2300</v>
      </c>
      <c r="D1051" s="531">
        <v>6820</v>
      </c>
      <c r="E1051" s="523">
        <f>SUMIFS('Accounting data'!$G$2:$G$37000,'Accounting data'!$H$2:$H$37000,"9999*",'Accounting data'!$J$2:$J$37000,"23*",'Accounting data'!$K$2:$K$37000,"682*")</f>
        <v>0</v>
      </c>
    </row>
    <row r="1052" spans="1:5" x14ac:dyDescent="0.2">
      <c r="A1052" s="522" t="s">
        <v>991</v>
      </c>
      <c r="B1052" s="522" t="s">
        <v>993</v>
      </c>
      <c r="C1052" s="522">
        <v>2300</v>
      </c>
      <c r="D1052" s="531">
        <v>6820</v>
      </c>
      <c r="E1052" s="523">
        <f>SUMIFS('Accounting data'!$G$2:$G$37000,'Accounting data'!$I$2:$I$37000,"7*",'Accounting data'!$J$2:$J$37000,"23*",'Accounting data'!$K$2:$K$37000,"682*")+SUMIFS('Accounting data'!$G$2:$G$37000,'Accounting data'!$I$2:$I$37000,"8*",'Accounting data'!$J$2:$J$37000,"23*",'Accounting data'!$K$2:$K$37000,"682*")+SUMIFS('Accounting data'!$G$2:$G$37000,'Accounting data'!$I$2:$I$37000,"9*",'Accounting data'!$J$2:$J$37000,"23*",'Accounting data'!$K$2:$K$37000,"682*")</f>
        <v>0</v>
      </c>
    </row>
    <row r="1053" spans="1:5" x14ac:dyDescent="0.2">
      <c r="A1053" s="524" t="s">
        <v>992</v>
      </c>
      <c r="B1053" s="522" t="s">
        <v>993</v>
      </c>
      <c r="C1053" s="522">
        <v>2300</v>
      </c>
      <c r="D1053" s="531">
        <v>6820</v>
      </c>
      <c r="E1053" s="523">
        <f>SUMIFS('Accounting data'!$G$2:$G$37000,'Accounting data'!$H$2:$H$37000,"9999*",'Accounting data'!$I$2:$I$37000,"7*",'Accounting data'!$J$2:$J$37000,"23*",'Accounting data'!$K$2:$K$37000,"682*")+SUMIFS('Accounting data'!$G$2:$G$37000,'Accounting data'!$H$2:$H$37000,"9999*",'Accounting data'!$I$2:$I$37000,"8*",'Accounting data'!$J$2:$J$37000,"23*",'Accounting data'!$K$2:$K$37000,"682*")+SUMIFS('Accounting data'!$G$2:$G$37000,'Accounting data'!$H$2:$H$37000,"9999*",'Accounting data'!$I$2:$I$37000,"9*",'Accounting data'!$J$2:$J$37000,"23*",'Accounting data'!$K$2:$K$37000,"682*")</f>
        <v>0</v>
      </c>
    </row>
    <row r="1054" spans="1:5" x14ac:dyDescent="0.2">
      <c r="A1054" s="522"/>
      <c r="B1054" s="522"/>
      <c r="C1054" s="522"/>
      <c r="D1054" s="531"/>
      <c r="E1054" s="523"/>
    </row>
    <row r="1055" spans="1:5" x14ac:dyDescent="0.2">
      <c r="A1055" s="522"/>
      <c r="B1055" s="522"/>
      <c r="C1055" s="522"/>
      <c r="D1055" s="531"/>
      <c r="E1055" s="523"/>
    </row>
    <row r="1056" spans="1:5" x14ac:dyDescent="0.2">
      <c r="A1056" s="525" t="s">
        <v>1069</v>
      </c>
      <c r="B1056" s="525"/>
      <c r="C1056" s="531"/>
      <c r="D1056" s="525"/>
      <c r="E1056" s="527">
        <f>(E1050-E1051-E1052)+(E1053+E1054+E1055)</f>
        <v>0</v>
      </c>
    </row>
    <row r="1057" spans="1:5" x14ac:dyDescent="0.2">
      <c r="A1057" s="522" t="s">
        <v>1007</v>
      </c>
      <c r="B1057" s="522" t="s">
        <v>991</v>
      </c>
      <c r="C1057" s="522">
        <v>2300</v>
      </c>
      <c r="D1057" s="522">
        <v>6820</v>
      </c>
      <c r="E1057" s="523">
        <f>SUMIFS('Accounting data'!$G$2:$G$37000,'Accounting data'!$H$2:$H$37000,"11*",'Accounting data'!$J$2:$J$37000,"23*",'Accounting data'!$K$2:$K$37000,"682*")+SUMIFS('Accounting data'!$G$2:$G$37000,'Accounting data'!$H$2:$H$37000,"12*",'Accounting data'!$J$2:$J$37000,"23*",'Accounting data'!$K$2:$K$37000,"682*")+SUMIFS('Accounting data'!$G$2:$G$37000,'Accounting data'!$H$2:$H$37000,"13*",'Accounting data'!$J$2:$J$37000,"23*",'Accounting data'!$K$2:$K$37000,"682*")+SUMIFS('Accounting data'!$G$2:$G$37000,'Accounting data'!$H$2:$H$37000,"639",'Accounting data'!$J$2:$J$37000,"23*",'Accounting data'!$K$2:$K$37000,"682*")+SUMIFS('Accounting data'!$G$2:$G$37000,'Accounting data'!$H$2:$H$37000,"699",'Accounting data'!$J$2:$J$37000,"23*",'Accounting data'!$K$2:$K$37000,"682*")+SUMIFS('Accounting data'!$G$2:$G$37000,'Accounting data'!$H$2:$H$37000,"72?",'Accounting data'!$J$2:$J$37000,"23*",'Accounting data'!$K$2:$K$37000,"682*")</f>
        <v>0</v>
      </c>
    </row>
    <row r="1058" spans="1:5" x14ac:dyDescent="0.2">
      <c r="A1058" s="522" t="s">
        <v>1007</v>
      </c>
      <c r="B1058" s="524">
        <v>700</v>
      </c>
      <c r="C1058" s="522">
        <v>2300</v>
      </c>
      <c r="D1058" s="522">
        <v>6820</v>
      </c>
      <c r="E1058" s="523">
        <f>SUMIFS('Accounting data'!$G$2:$G$37000,'Accounting data'!$H$2:$H$37000,"11*",'Accounting data'!$I$2:$I$37000,"7*",'Accounting data'!$J$2:$J$37000,"23*",'Accounting data'!$K$2:$K$37000,"682*")+SUMIFS('Accounting data'!$G$2:$G$37000,'Accounting data'!$H$2:$H$37000,"12*",'Accounting data'!$I$2:$I$37000,"7*",'Accounting data'!$J$2:$J$37000,"23*",'Accounting data'!$K$2:$K$37000,"682*")+SUMIFS('Accounting data'!$G$2:$G$37000,'Accounting data'!$H$2:$H$37000,"13*",'Accounting data'!$I$2:$I$37000,"7*",'Accounting data'!$J$2:$J$37000,"23*",'Accounting data'!$K$2:$K$37000,"682*")+SUMIFS('Accounting data'!$G$2:$G$37000,'Accounting data'!$H$2:$H$37000,"639",'Accounting data'!$I$2:$I$37000,"7*",'Accounting data'!$J$2:$J$37000,"23*",'Accounting data'!$K$2:$K$37000,"682*")+SUMIFS('Accounting data'!$G$2:$G$37000,'Accounting data'!$H$2:$H$37000,"699",'Accounting data'!$I$2:$I$37000,"7*",'Accounting data'!$J$2:$J$37000,"23*",'Accounting data'!$K$2:$K$37000,"682*")+SUMIFS('Accounting data'!$G$2:$G$37000,'Accounting data'!$H$2:$H$37000,"72?",'Accounting data'!$I$2:$I$37000,"7*",'Accounting data'!$J$2:$J$37000,"23*",'Accounting data'!$K$2:$K$37000,"682*")</f>
        <v>0</v>
      </c>
    </row>
    <row r="1059" spans="1:5" x14ac:dyDescent="0.2">
      <c r="A1059" s="522" t="s">
        <v>1007</v>
      </c>
      <c r="B1059" s="524">
        <v>800</v>
      </c>
      <c r="C1059" s="522">
        <v>2300</v>
      </c>
      <c r="D1059" s="522">
        <v>6820</v>
      </c>
      <c r="E1059" s="523">
        <f>SUMIFS('Accounting data'!$G$2:$G$37000,'Accounting data'!$H$2:$H$37000,"11*",'Accounting data'!$I$2:$I$37000,"8*",'Accounting data'!$J$2:$J$37000,"23*",'Accounting data'!$K$2:$K$37000,"682*")+SUMIFS('Accounting data'!$G$2:$G$37000,'Accounting data'!$H$2:$H$37000,"12*",'Accounting data'!$I$2:$I$37000,"8*",'Accounting data'!$J$2:$J$37000,"23*",'Accounting data'!$K$2:$K$37000,"682*")+SUMIFS('Accounting data'!$G$2:$G$37000,'Accounting data'!$H$2:$H$37000,"13*",'Accounting data'!$I$2:$I$37000,"8*",'Accounting data'!$J$2:$J$37000,"23*",'Accounting data'!$K$2:$K$37000,"682*")+SUMIFS('Accounting data'!$G$2:$G$37000,'Accounting data'!$H$2:$H$37000,"639",'Accounting data'!$I$2:$I$37000,"8*",'Accounting data'!$J$2:$J$37000,"23*",'Accounting data'!$K$2:$K$37000,"682*")+SUMIFS('Accounting data'!$G$2:$G$37000,'Accounting data'!$H$2:$H$37000,"699",'Accounting data'!$I$2:$I$37000,"8*",'Accounting data'!$J$2:$J$37000,"23*",'Accounting data'!$K$2:$K$37000,"682*")+SUMIFS('Accounting data'!$G$2:$G$37000,'Accounting data'!$H$2:$H$37000,"72?",'Accounting data'!$I$2:$I$37000,"8*",'Accounting data'!$J$2:$J$37000,"23*",'Accounting data'!$K$2:$K$37000,"682*")</f>
        <v>0</v>
      </c>
    </row>
    <row r="1060" spans="1:5" x14ac:dyDescent="0.2">
      <c r="A1060" s="522" t="s">
        <v>1007</v>
      </c>
      <c r="B1060" s="524">
        <v>900</v>
      </c>
      <c r="C1060" s="522">
        <v>2300</v>
      </c>
      <c r="D1060" s="522">
        <v>6820</v>
      </c>
      <c r="E1060" s="523">
        <f>SUMIFS('Accounting data'!$G$2:$G$37000,'Accounting data'!$H$2:$H$37000,"11*",'Accounting data'!$I$2:$I$37000,"9*",'Accounting data'!$J$2:$J$37000,"23*",'Accounting data'!$K$2:$K$37000,"682*")+SUMIFS('Accounting data'!$G$2:$G$37000,'Accounting data'!$H$2:$H$37000,"12*",'Accounting data'!$I$2:$I$37000,"9*",'Accounting data'!$J$2:$J$37000,"23*",'Accounting data'!$K$2:$K$37000,"682*")+SUMIFS('Accounting data'!$G$2:$G$37000,'Accounting data'!$H$2:$H$37000,"13*",'Accounting data'!$I$2:$I$37000,"9*",'Accounting data'!$J$2:$J$37000,"23*",'Accounting data'!$K$2:$K$37000,"682*")+SUMIFS('Accounting data'!$G$2:$G$37000,'Accounting data'!$H$2:$H$37000,"639",'Accounting data'!$I$2:$I$37000,"9*",'Accounting data'!$J$2:$J$37000,"23*",'Accounting data'!$K$2:$K$37000,"682*")+SUMIFS('Accounting data'!$G$2:$G$37000,'Accounting data'!$H$2:$H$37000,"699",'Accounting data'!$I$2:$I$37000,"9*",'Accounting data'!$J$2:$J$37000,"23*",'Accounting data'!$K$2:$K$37000,"682*")+SUMIFS('Accounting data'!$G$2:$G$37000,'Accounting data'!$H$2:$H$37000,"72?",'Accounting data'!$I$2:$I$37000,"9*",'Accounting data'!$J$2:$J$37000,"23*",'Accounting data'!$K$2:$K$37000,"682*")</f>
        <v>0</v>
      </c>
    </row>
    <row r="1061" spans="1:5" x14ac:dyDescent="0.2">
      <c r="A1061" s="525" t="s">
        <v>1070</v>
      </c>
      <c r="B1061" s="525"/>
      <c r="C1061" s="525"/>
      <c r="D1061" s="525"/>
      <c r="E1061" s="527">
        <f>E1057-E1058-E1059-E1060</f>
        <v>0</v>
      </c>
    </row>
    <row r="1076" spans="1:5" x14ac:dyDescent="0.2">
      <c r="A1076" s="522" t="s">
        <v>991</v>
      </c>
      <c r="B1076" s="522" t="s">
        <v>991</v>
      </c>
      <c r="C1076" s="522">
        <v>2500</v>
      </c>
      <c r="D1076" s="531">
        <v>6850</v>
      </c>
      <c r="E1076" s="523">
        <f>SUMIFS('Accounting data'!$G$2:$G$37000,'Accounting data'!$J$2:$J$37000,"25*",'Accounting data'!$K$2:$K$37000,"685*")</f>
        <v>0</v>
      </c>
    </row>
    <row r="1077" spans="1:5" x14ac:dyDescent="0.2">
      <c r="A1077" s="522" t="s">
        <v>992</v>
      </c>
      <c r="B1077" s="522" t="s">
        <v>991</v>
      </c>
      <c r="C1077" s="522">
        <v>2500</v>
      </c>
      <c r="D1077" s="531">
        <v>6850</v>
      </c>
      <c r="E1077" s="523">
        <f>SUMIFS('Accounting data'!$G$2:$G$37000,'Accounting data'!$H$2:$H$37000,"9999*",'Accounting data'!$J$2:$J$37000,"25*",'Accounting data'!$K$2:$K$37000,"685*")</f>
        <v>0</v>
      </c>
    </row>
    <row r="1078" spans="1:5" x14ac:dyDescent="0.2">
      <c r="A1078" s="522" t="s">
        <v>991</v>
      </c>
      <c r="B1078" s="522" t="s">
        <v>993</v>
      </c>
      <c r="C1078" s="522">
        <v>2500</v>
      </c>
      <c r="D1078" s="531">
        <v>6850</v>
      </c>
      <c r="E1078" s="523">
        <f>SUMIFS('Accounting data'!$G$2:$G$37000,'Accounting data'!$I$2:$I$37000,"7*",'Accounting data'!$J$2:$J$37000,"25*",'Accounting data'!$K$2:$K$37000,"685*")+SUMIFS('Accounting data'!$G$2:$G$37000,'Accounting data'!$I$2:$I$37000,"8*",'Accounting data'!$J$2:$J$37000,"25*",'Accounting data'!$K$2:$K$37000,"685*")+SUMIFS('Accounting data'!$G$2:$G$37000,'Accounting data'!$I$2:$I$37000,"9*",'Accounting data'!$J$2:$J$37000,"25*",'Accounting data'!$K$2:$K$37000,"685*")</f>
        <v>0</v>
      </c>
    </row>
    <row r="1079" spans="1:5" x14ac:dyDescent="0.2">
      <c r="A1079" s="524" t="s">
        <v>992</v>
      </c>
      <c r="B1079" s="522" t="s">
        <v>993</v>
      </c>
      <c r="C1079" s="522">
        <v>2500</v>
      </c>
      <c r="D1079" s="531">
        <v>6850</v>
      </c>
      <c r="E1079" s="523">
        <f>SUMIFS('Accounting data'!$G$2:$G$37000,'Accounting data'!$H$2:$H$37000,"9999*",'Accounting data'!$I$2:$I$37000,"7*",'Accounting data'!$J$2:$J$37000,"25*",'Accounting data'!$K$2:$K$37000,"685*")+SUMIFS('Accounting data'!$G$2:$G$37000,'Accounting data'!$H$2:$H$37000,"9999*",'Accounting data'!$I$2:$I$37000,"8*",'Accounting data'!$J$2:$J$37000,"25*",'Accounting data'!$K$2:$K$37000,"685*")+SUMIFS('Accounting data'!$G$2:$G$37000,'Accounting data'!$H$2:$H$37000,"9999*",'Accounting data'!$I$2:$I$37000,"9*",'Accounting data'!$J$2:$J$37000,"25*",'Accounting data'!$K$2:$K$37000,"685*")</f>
        <v>0</v>
      </c>
    </row>
    <row r="1080" spans="1:5" x14ac:dyDescent="0.2">
      <c r="A1080" s="522"/>
      <c r="B1080" s="522"/>
      <c r="C1080" s="522"/>
      <c r="D1080" s="531"/>
      <c r="E1080" s="523"/>
    </row>
    <row r="1081" spans="1:5" x14ac:dyDescent="0.2">
      <c r="A1081" s="522"/>
      <c r="B1081" s="522"/>
      <c r="C1081" s="522"/>
      <c r="D1081" s="531"/>
      <c r="E1081" s="523"/>
    </row>
    <row r="1082" spans="1:5" x14ac:dyDescent="0.2">
      <c r="A1082" s="525" t="s">
        <v>1071</v>
      </c>
      <c r="B1082" s="525"/>
      <c r="C1082" s="525"/>
      <c r="D1082" s="525"/>
      <c r="E1082" s="527">
        <f>(E1076-E1077-E1078)+(E1079+E1080+E1081)</f>
        <v>0</v>
      </c>
    </row>
    <row r="1105" spans="1:5" x14ac:dyDescent="0.2">
      <c r="A1105" s="522" t="s">
        <v>1007</v>
      </c>
      <c r="B1105" s="522" t="s">
        <v>991</v>
      </c>
      <c r="C1105" s="531">
        <v>2500</v>
      </c>
      <c r="D1105" s="522">
        <v>6850</v>
      </c>
      <c r="E1105" s="523">
        <f>SUMIFS('Accounting data'!$G$2:$G$37000,'Accounting data'!$H$2:$H$37000,"11*",'Accounting data'!$J$2:$J$37000,"25*",'Accounting data'!$K$2:$K$37000,"685*")+SUMIFS('Accounting data'!$G$2:$G$37000,'Accounting data'!$H$2:$H$37000,"12*",'Accounting data'!$J$2:$J$37000,"25*",'Accounting data'!$K$2:$K$37000,"685*")+SUMIFS('Accounting data'!$G$2:$G$37000,'Accounting data'!$H$2:$H$37000,"13*",'Accounting data'!$J$2:$J$37000,"25*",'Accounting data'!$K$2:$K$37000,"685*")</f>
        <v>0</v>
      </c>
    </row>
    <row r="1106" spans="1:5" x14ac:dyDescent="0.2">
      <c r="A1106" s="522" t="s">
        <v>1007</v>
      </c>
      <c r="B1106" s="524">
        <v>700</v>
      </c>
      <c r="C1106" s="522">
        <v>2500</v>
      </c>
      <c r="D1106" s="522">
        <v>6850</v>
      </c>
      <c r="E1106" s="523">
        <f>SUMIFS('Accounting data'!$G$2:$G$37000,'Accounting data'!$H$2:$H$37000,"11*",'Accounting data'!$I$2:$I$37000,"7*",'Accounting data'!$J$2:$J$37000,"25*",'Accounting data'!$K$2:$K$37000,"685*")+SUMIFS('Accounting data'!$G$2:$G$37000,'Accounting data'!$H$2:$H$37000,"12*",'Accounting data'!$I$2:$I$37000,"7*",'Accounting data'!$J$2:$J$37000,"25*",'Accounting data'!$K$2:$K$37000,"685*")+SUMIFS('Accounting data'!$G$2:$G$37000,'Accounting data'!$H$2:$H$37000,"13*",'Accounting data'!$I$2:$I$37000,"7*",'Accounting data'!$J$2:$J$37000,"25*",'Accounting data'!$K$2:$K$37000,"685*")</f>
        <v>0</v>
      </c>
    </row>
    <row r="1107" spans="1:5" x14ac:dyDescent="0.2">
      <c r="A1107" s="522" t="s">
        <v>1007</v>
      </c>
      <c r="B1107" s="524">
        <v>800</v>
      </c>
      <c r="C1107" s="522">
        <v>2500</v>
      </c>
      <c r="D1107" s="522">
        <v>6850</v>
      </c>
      <c r="E1107" s="523">
        <f>SUMIFS('Accounting data'!$G$2:$G$37000,'Accounting data'!$H$2:$H$37000,"11*",'Accounting data'!$I$2:$I$37000,"8*",'Accounting data'!$J$2:$J$37000,"25*",'Accounting data'!$K$2:$K$37000,"685*")+SUMIFS('Accounting data'!$G$2:$G$37000,'Accounting data'!$H$2:$H$37000,"12*",'Accounting data'!$I$2:$I$37000,"8*",'Accounting data'!$J$2:$J$37000,"25*",'Accounting data'!$K$2:$K$37000,"685*")+SUMIFS('Accounting data'!$G$2:$G$37000,'Accounting data'!$H$2:$H$37000,"13*",'Accounting data'!$I$2:$I$37000,"8*",'Accounting data'!$J$2:$J$37000,"25*",'Accounting data'!$K$2:$K$37000,"685*")</f>
        <v>0</v>
      </c>
    </row>
    <row r="1108" spans="1:5" x14ac:dyDescent="0.2">
      <c r="A1108" s="522" t="s">
        <v>1007</v>
      </c>
      <c r="B1108" s="524">
        <v>900</v>
      </c>
      <c r="C1108" s="522">
        <v>2500</v>
      </c>
      <c r="D1108" s="522">
        <v>6850</v>
      </c>
      <c r="E1108" s="523">
        <f>SUMIFS('Accounting data'!$G$2:$G$37000,'Accounting data'!$H$2:$H$37000,"11*",'Accounting data'!$I$2:$I$37000,"9*",'Accounting data'!$J$2:$J$37000,"25*",'Accounting data'!$K$2:$K$37000,"685*")+SUMIFS('Accounting data'!$G$2:$G$37000,'Accounting data'!$H$2:$H$37000,"12*",'Accounting data'!$I$2:$I$37000,"9*",'Accounting data'!$J$2:$J$37000,"25*",'Accounting data'!$K$2:$K$37000,"685*")+SUMIFS('Accounting data'!$G$2:$G$37000,'Accounting data'!$H$2:$H$37000,"13*",'Accounting data'!$I$2:$I$37000,"9*",'Accounting data'!$J$2:$J$37000,"25*",'Accounting data'!$K$2:$K$37000,"685*")</f>
        <v>0</v>
      </c>
    </row>
    <row r="1109" spans="1:5" x14ac:dyDescent="0.2">
      <c r="A1109" s="525" t="s">
        <v>1072</v>
      </c>
      <c r="B1109" s="525"/>
      <c r="C1109" s="525"/>
      <c r="D1109" s="525"/>
      <c r="E1109" s="527">
        <f>E1105-(E1106+E1107+E1108)</f>
        <v>0</v>
      </c>
    </row>
    <row r="1110" spans="1:5" x14ac:dyDescent="0.2">
      <c r="A1110" s="522" t="s">
        <v>991</v>
      </c>
      <c r="B1110" s="522" t="s">
        <v>991</v>
      </c>
      <c r="C1110" s="522">
        <v>1000</v>
      </c>
      <c r="D1110" s="531">
        <v>6890</v>
      </c>
      <c r="E1110" s="523">
        <f>SUMIFS('Accounting data'!$G$2:$G$37000,'Accounting data'!$J$2:$J$37000,"1*",'Accounting data'!$K$2:$K$37000,"689*")</f>
        <v>0</v>
      </c>
    </row>
    <row r="1111" spans="1:5" x14ac:dyDescent="0.2">
      <c r="A1111" s="522" t="s">
        <v>992</v>
      </c>
      <c r="B1111" s="522" t="s">
        <v>991</v>
      </c>
      <c r="C1111" s="522">
        <v>1000</v>
      </c>
      <c r="D1111" s="531">
        <v>6890</v>
      </c>
      <c r="E1111" s="523">
        <f>SUMIFS('Accounting data'!$G$2:$G$37000,'Accounting data'!$H$2:$H$37000,"9999*",'Accounting data'!$J$2:$J$37000,"1*",'Accounting data'!$K$2:$K$37000,"689*")</f>
        <v>0</v>
      </c>
    </row>
    <row r="1112" spans="1:5" x14ac:dyDescent="0.2">
      <c r="A1112" s="522" t="s">
        <v>991</v>
      </c>
      <c r="B1112" s="522" t="s">
        <v>993</v>
      </c>
      <c r="C1112" s="522">
        <v>1000</v>
      </c>
      <c r="D1112" s="531">
        <v>6890</v>
      </c>
      <c r="E1112" s="523">
        <f>SUMIFS('Accounting data'!$G$2:$G$37000,'Accounting data'!$I$2:$I$37000,"7*",'Accounting data'!$J$2:$J$37000,"1*",'Accounting data'!$K$2:$K$37000,"689*")+SUMIFS('Accounting data'!$G$2:$G$37000,'Accounting data'!$I$2:$I$37000,"8*",'Accounting data'!$J$2:$J$37000,"1*",'Accounting data'!$K$2:$K$37000,"689*")+SUMIFS('Accounting data'!$G$2:$G$37000,'Accounting data'!$I$2:$I$37000,"9*",'Accounting data'!$J$2:$J$37000,"1*",'Accounting data'!$K$2:$K$37000,"689*")</f>
        <v>0</v>
      </c>
    </row>
    <row r="1113" spans="1:5" x14ac:dyDescent="0.2">
      <c r="A1113" s="524" t="s">
        <v>992</v>
      </c>
      <c r="B1113" s="522" t="s">
        <v>993</v>
      </c>
      <c r="C1113" s="522">
        <v>1000</v>
      </c>
      <c r="D1113" s="531">
        <v>6890</v>
      </c>
      <c r="E1113" s="523">
        <f>SUMIFS('Accounting data'!$G$2:$G$37000,'Accounting data'!$H$2:$H$37000,"9999*",'Accounting data'!$I$2:$I$37000,"7*",'Accounting data'!$J$2:$J$37000,"1*",'Accounting data'!$K$2:$K$37000,"689*")+SUMIFS('Accounting data'!$G$2:$G$37000,'Accounting data'!$H$2:$H$37000,"9999*",'Accounting data'!$I$2:$I$37000,"8*",'Accounting data'!$J$2:$J$37000,"1*",'Accounting data'!$K$2:$K$37000,"689*")+SUMIFS('Accounting data'!$G$2:$G$37000,'Accounting data'!$H$2:$H$37000,"9999*",'Accounting data'!$I$2:$I$37000,"9*",'Accounting data'!$J$2:$J$37000,"1*",'Accounting data'!$K$2:$K$37000,"689*")</f>
        <v>0</v>
      </c>
    </row>
    <row r="1114" spans="1:5" x14ac:dyDescent="0.2">
      <c r="A1114" s="522"/>
      <c r="B1114" s="522"/>
      <c r="C1114" s="522"/>
      <c r="D1114" s="531"/>
      <c r="E1114" s="523"/>
    </row>
    <row r="1115" spans="1:5" x14ac:dyDescent="0.2">
      <c r="A1115" s="522"/>
      <c r="B1115" s="522"/>
      <c r="C1115" s="522"/>
      <c r="D1115" s="531"/>
      <c r="E1115" s="523"/>
    </row>
    <row r="1116" spans="1:5" x14ac:dyDescent="0.2">
      <c r="A1116" s="525" t="s">
        <v>1073</v>
      </c>
      <c r="B1116" s="525"/>
      <c r="C1116" s="525"/>
      <c r="D1116" s="525"/>
      <c r="E1116" s="527">
        <f>(E1110-E1111-E1112)+(E1113+E1114+E1115)</f>
        <v>0</v>
      </c>
    </row>
    <row r="1117" spans="1:5" x14ac:dyDescent="0.2">
      <c r="A1117" s="522" t="s">
        <v>991</v>
      </c>
      <c r="B1117" s="522" t="s">
        <v>991</v>
      </c>
      <c r="C1117" s="522">
        <v>2100</v>
      </c>
      <c r="D1117" s="531">
        <v>6890</v>
      </c>
      <c r="E1117" s="523">
        <f>SUMIFS('Accounting data'!$G$2:$G$37000,'Accounting data'!$J$2:$J$37000,"21*",'Accounting data'!$K$2:$K$37000,"689*")</f>
        <v>0</v>
      </c>
    </row>
    <row r="1118" spans="1:5" x14ac:dyDescent="0.2">
      <c r="A1118" s="522" t="s">
        <v>992</v>
      </c>
      <c r="B1118" s="522" t="s">
        <v>991</v>
      </c>
      <c r="C1118" s="522">
        <v>2100</v>
      </c>
      <c r="D1118" s="531">
        <v>6890</v>
      </c>
      <c r="E1118" s="523">
        <f>SUMIFS('Accounting data'!$G$2:$G$37000,'Accounting data'!$H$2:$H$37000,"9999*",'Accounting data'!$J$2:$J$37000,"21*",'Accounting data'!$K$2:$K$37000,"689*")</f>
        <v>0</v>
      </c>
    </row>
    <row r="1119" spans="1:5" x14ac:dyDescent="0.2">
      <c r="A1119" s="522" t="s">
        <v>991</v>
      </c>
      <c r="B1119" s="522" t="s">
        <v>993</v>
      </c>
      <c r="C1119" s="522">
        <v>2100</v>
      </c>
      <c r="D1119" s="531">
        <v>6890</v>
      </c>
      <c r="E1119" s="523">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0" spans="1:5" x14ac:dyDescent="0.2">
      <c r="A1120" s="524" t="s">
        <v>992</v>
      </c>
      <c r="B1120" s="522" t="s">
        <v>993</v>
      </c>
      <c r="C1120" s="522">
        <v>2100</v>
      </c>
      <c r="D1120" s="531">
        <v>6890</v>
      </c>
      <c r="E1120" s="523">
        <f>SUMIFS('Accounting data'!$G$2:$G$37000,'Accounting data'!$H$2:$H$37000,"9999*",'Accounting data'!$J$2:$J$37000,"21*",'Accounting data'!$K$2:$K$37000,"689*")+SUMIFS('Accounting data'!$G$2:$G$37000,'Accounting data'!$H$2:$H$37000,"8*",'Accounting data'!$J$2:$J$37000,"21*",'Accounting data'!$K$2:$K$37000,"689*")+SUMIFS('Accounting data'!$G$2:$G$37000,'Accounting data'!$H$2:$H$37000,"9*",'Accounting data'!$J$2:$J$37000,"21*",'Accounting data'!$K$2:$K$37000,"689*")</f>
        <v>0</v>
      </c>
    </row>
    <row r="1123" spans="1:5" x14ac:dyDescent="0.2">
      <c r="A1123" s="525" t="s">
        <v>1074</v>
      </c>
      <c r="B1123" s="525"/>
      <c r="C1123" s="525"/>
      <c r="D1123" s="525"/>
      <c r="E1123" s="527">
        <f>(E1117-E1118-E1119)+(E1120+E1121+E1122)</f>
        <v>0</v>
      </c>
    </row>
    <row r="1124" spans="1:5" x14ac:dyDescent="0.2">
      <c r="A1124" s="522" t="s">
        <v>991</v>
      </c>
      <c r="B1124" s="522" t="s">
        <v>991</v>
      </c>
      <c r="C1124" s="522">
        <v>2200</v>
      </c>
      <c r="D1124" s="531">
        <v>6890</v>
      </c>
      <c r="E1124" s="523">
        <f>SUMIFS('Accounting data'!$G$2:$G$37000,'Accounting data'!$J$2:$J$37000,"22*",'Accounting data'!$K$2:$K$37000,"689*")</f>
        <v>0</v>
      </c>
    </row>
    <row r="1125" spans="1:5" x14ac:dyDescent="0.2">
      <c r="A1125" s="522" t="s">
        <v>992</v>
      </c>
      <c r="B1125" s="522" t="s">
        <v>991</v>
      </c>
      <c r="C1125" s="522">
        <v>2200</v>
      </c>
      <c r="D1125" s="531">
        <v>6890</v>
      </c>
      <c r="E1125" s="523">
        <f>SUMIFS('Accounting data'!$G$2:$G$37000,'Accounting data'!$H$2:$H$37000,"9999*",'Accounting data'!$J$2:$J$37000,"22*",'Accounting data'!$K$2:$K$37000,"689*")</f>
        <v>0</v>
      </c>
    </row>
    <row r="1126" spans="1:5" x14ac:dyDescent="0.2">
      <c r="A1126" s="522" t="s">
        <v>991</v>
      </c>
      <c r="B1126" s="522" t="s">
        <v>993</v>
      </c>
      <c r="C1126" s="522">
        <v>2200</v>
      </c>
      <c r="D1126" s="531">
        <v>6890</v>
      </c>
      <c r="E1126" s="523">
        <f>SUMIFS('Accounting data'!$G$2:$G$37000,'Accounting data'!$I$2:$I$37000,"7*",'Accounting data'!$J$2:$J$37000,"22*",'Accounting data'!$K$2:$K$37000,"689*")+SUMIFS('Accounting data'!$G$2:$G$37000,'Accounting data'!$I$2:$I$37000,"8*",'Accounting data'!$J$2:$J$37000,"22*",'Accounting data'!$K$2:$K$37000,"689*")+SUMIFS('Accounting data'!$G$2:$G$37000,'Accounting data'!$I$2:$I$37000,"9*",'Accounting data'!$J$2:$J$37000,"22*",'Accounting data'!$K$2:$K$37000,"689*")</f>
        <v>0</v>
      </c>
    </row>
    <row r="1127" spans="1:5" x14ac:dyDescent="0.2">
      <c r="A1127" s="524" t="s">
        <v>992</v>
      </c>
      <c r="B1127" s="522" t="s">
        <v>993</v>
      </c>
      <c r="C1127" s="522">
        <v>2200</v>
      </c>
      <c r="D1127" s="531">
        <v>6890</v>
      </c>
      <c r="E1127" s="523">
        <f>SUMIFS('Accounting data'!$G$2:$G$37000,'Accounting data'!$H$2:$H$37000,"9999*",'Accounting data'!$I$2:$I$37000,"7*",'Accounting data'!$J$2:$J$37000,"22*",'Accounting data'!$K$2:$K$37000,"689*")+SUMIFS('Accounting data'!$G$2:$G$37000,'Accounting data'!$H$2:$H$37000,"9999*",'Accounting data'!$I$2:$I$37000,"8*",'Accounting data'!$J$2:$J$37000,"22*",'Accounting data'!$K$2:$K$37000,"689*")+SUMIFS('Accounting data'!$G$2:$G$37000,'Accounting data'!$H$2:$H$37000,"9999*",'Accounting data'!$I$2:$I$37000,"9*",'Accounting data'!$J$2:$J$37000,"22*",'Accounting data'!$K$2:$K$37000,"689*")</f>
        <v>0</v>
      </c>
    </row>
    <row r="1128" spans="1:5" x14ac:dyDescent="0.2">
      <c r="A1128" s="522"/>
      <c r="B1128" s="522"/>
      <c r="C1128" s="522"/>
      <c r="D1128" s="531"/>
      <c r="E1128" s="523"/>
    </row>
    <row r="1129" spans="1:5" x14ac:dyDescent="0.2">
      <c r="A1129" s="522"/>
      <c r="B1129" s="522"/>
      <c r="C1129" s="522"/>
      <c r="D1129" s="531"/>
      <c r="E1129" s="523"/>
    </row>
    <row r="1130" spans="1:5" x14ac:dyDescent="0.2">
      <c r="A1130" s="525" t="s">
        <v>1075</v>
      </c>
      <c r="B1130" s="525"/>
      <c r="C1130" s="525"/>
      <c r="D1130" s="525"/>
      <c r="E1130" s="527">
        <f>(E1124-E1125-E1126)+(E1127+E1128+E1129)</f>
        <v>0</v>
      </c>
    </row>
    <row r="1131" spans="1:5" x14ac:dyDescent="0.2">
      <c r="A1131" s="522" t="s">
        <v>991</v>
      </c>
      <c r="B1131" s="522" t="s">
        <v>991</v>
      </c>
      <c r="C1131" s="522">
        <v>2300</v>
      </c>
      <c r="D1131" s="531">
        <v>6890</v>
      </c>
      <c r="E1131" s="523">
        <f>SUMIFS('Accounting data'!$G$2:$G$37000,'Accounting data'!$J$2:$J$37000,"23*",'Accounting data'!$K$2:$K$37000,"689*")</f>
        <v>0</v>
      </c>
    </row>
    <row r="1132" spans="1:5" x14ac:dyDescent="0.2">
      <c r="A1132" s="522" t="s">
        <v>992</v>
      </c>
      <c r="B1132" s="522" t="s">
        <v>991</v>
      </c>
      <c r="C1132" s="522">
        <v>2300</v>
      </c>
      <c r="D1132" s="531">
        <v>6890</v>
      </c>
      <c r="E1132" s="523">
        <f>SUMIFS('Accounting data'!$G$2:$G$37000,'Accounting data'!$H$2:$H$37000,"9999*",'Accounting data'!$J$2:$J$37000,"23*",'Accounting data'!$K$2:$K$37000,"689*")</f>
        <v>0</v>
      </c>
    </row>
    <row r="1133" spans="1:5" x14ac:dyDescent="0.2">
      <c r="A1133" s="522" t="s">
        <v>991</v>
      </c>
      <c r="B1133" s="522" t="s">
        <v>993</v>
      </c>
      <c r="C1133" s="522">
        <v>2300</v>
      </c>
      <c r="D1133" s="531">
        <v>6890</v>
      </c>
      <c r="E1133" s="523">
        <f>SUMIFS('Accounting data'!$G$2:$G$37000,'Accounting data'!$I$2:$I$37000,"7*",'Accounting data'!$J$2:$J$37000,"23*",'Accounting data'!$K$2:$K$37000,"689*")+SUMIFS('Accounting data'!$G$2:$G$37000,'Accounting data'!$I$2:$I$37000,"8*",'Accounting data'!$J$2:$J$37000,"23*",'Accounting data'!$K$2:$K$37000,"689*")+SUMIFS('Accounting data'!$G$2:$G$37000,'Accounting data'!$I$2:$I$37000,"9*",'Accounting data'!$J$2:$J$37000,"23*",'Accounting data'!$K$2:$K$37000,"689*")</f>
        <v>0</v>
      </c>
    </row>
    <row r="1134" spans="1:5" x14ac:dyDescent="0.2">
      <c r="A1134" s="524" t="s">
        <v>992</v>
      </c>
      <c r="B1134" s="522" t="s">
        <v>993</v>
      </c>
      <c r="C1134" s="522">
        <v>2300</v>
      </c>
      <c r="D1134" s="531">
        <v>6890</v>
      </c>
      <c r="E1134" s="523">
        <f>SUMIFS('Accounting data'!$G$2:$G$37000,'Accounting data'!$H$2:$H$37000,"9999*",'Accounting data'!$I$2:$I$37000,"7*",'Accounting data'!$J$2:$J$37000,"23*",'Accounting data'!$K$2:$K$37000,"689*")+SUMIFS('Accounting data'!$G$2:$G$37000,'Accounting data'!$H$2:$H$37000,"9999*",'Accounting data'!$I$2:$I$37000,"8*",'Accounting data'!$J$2:$J$37000,"23*",'Accounting data'!$K$2:$K$37000,"689*")+SUMIFS('Accounting data'!$G$2:$G$37000,'Accounting data'!$H$2:$H$37000,"9999*",'Accounting data'!$I$2:$I$37000,"9*",'Accounting data'!$J$2:$J$37000,"23*",'Accounting data'!$K$2:$K$37000,"689*")</f>
        <v>0</v>
      </c>
    </row>
    <row r="1137" spans="1:5" x14ac:dyDescent="0.2">
      <c r="A1137" s="525" t="s">
        <v>1076</v>
      </c>
      <c r="B1137" s="525"/>
      <c r="C1137" s="525"/>
      <c r="D1137" s="525"/>
      <c r="E1137" s="527">
        <f>(E1131-E1132-E1133)+(E1134+E1135+E1136)</f>
        <v>0</v>
      </c>
    </row>
    <row r="1138" spans="1:5" x14ac:dyDescent="0.2">
      <c r="A1138" s="522" t="s">
        <v>991</v>
      </c>
      <c r="B1138" s="522" t="s">
        <v>991</v>
      </c>
      <c r="C1138" s="522">
        <v>2400</v>
      </c>
      <c r="D1138" s="531">
        <v>6890</v>
      </c>
      <c r="E1138" s="523">
        <f>SUMIFS('Accounting data'!$G$2:$G$37000,'Accounting data'!$J$2:$J$37000,"24*",'Accounting data'!$K$2:$K$37000,"689*")</f>
        <v>0</v>
      </c>
    </row>
    <row r="1139" spans="1:5" x14ac:dyDescent="0.2">
      <c r="A1139" s="522" t="s">
        <v>992</v>
      </c>
      <c r="B1139" s="522" t="s">
        <v>991</v>
      </c>
      <c r="C1139" s="522">
        <v>2400</v>
      </c>
      <c r="D1139" s="531">
        <v>6890</v>
      </c>
      <c r="E1139" s="523">
        <f>SUMIFS('Accounting data'!$G$2:$G$37000,'Accounting data'!$H$2:$H$37000,"9999*",'Accounting data'!$J$2:$J$37000,"24*",'Accounting data'!$K$2:$K$37000,"689*")</f>
        <v>0</v>
      </c>
    </row>
    <row r="1140" spans="1:5" x14ac:dyDescent="0.2">
      <c r="A1140" s="522" t="s">
        <v>991</v>
      </c>
      <c r="B1140" s="522" t="s">
        <v>993</v>
      </c>
      <c r="C1140" s="522">
        <v>2400</v>
      </c>
      <c r="D1140" s="531">
        <v>6890</v>
      </c>
      <c r="E1140" s="523">
        <f>SUMIFS('Accounting data'!$G$2:$G$37000,'Accounting data'!$I$2:$I$37000,"7*",'Accounting data'!$J$2:$J$37000,"24*",'Accounting data'!$K$2:$K$37000,"689*")+SUMIFS('Accounting data'!$G$2:$G$37000,'Accounting data'!$I$2:$I$37000,"8*",'Accounting data'!$J$2:$J$37000,"24*",'Accounting data'!$K$2:$K$37000,"689*")+SUMIFS('Accounting data'!$G$2:$G$37000,'Accounting data'!$I$2:$I$37000,"9*",'Accounting data'!$J$2:$J$37000,"24*",'Accounting data'!$K$2:$K$37000,"689*")</f>
        <v>0</v>
      </c>
    </row>
    <row r="1141" spans="1:5" x14ac:dyDescent="0.2">
      <c r="A1141" s="524" t="s">
        <v>992</v>
      </c>
      <c r="B1141" s="522" t="s">
        <v>993</v>
      </c>
      <c r="C1141" s="522">
        <v>2400</v>
      </c>
      <c r="D1141" s="531">
        <v>6890</v>
      </c>
      <c r="E1141" s="523">
        <f>SUMIFS('Accounting data'!$G$2:$G$37000,'Accounting data'!$H$2:$H$37000,"9999*",'Accounting data'!$I$2:$I$37000,"7*",'Accounting data'!$J$2:$J$37000,"24*",'Accounting data'!$K$2:$K$37000,"689*")+SUMIFS('Accounting data'!$G$2:$G$37000,'Accounting data'!$H$2:$H$37000,"9999*",'Accounting data'!$I$2:$I$37000,"8*",'Accounting data'!$J$2:$J$37000,"24*",'Accounting data'!$K$2:$K$37000,"689*")+SUMIFS('Accounting data'!$G$2:$G$37000,'Accounting data'!$H$2:$H$37000,"9999*",'Accounting data'!$I$2:$I$37000,"9*",'Accounting data'!$J$2:$J$37000,"24*",'Accounting data'!$K$2:$K$37000,"689*")</f>
        <v>0</v>
      </c>
    </row>
    <row r="1142" spans="1:5" x14ac:dyDescent="0.2">
      <c r="A1142" s="522"/>
      <c r="B1142" s="522"/>
      <c r="C1142" s="522"/>
      <c r="D1142" s="531"/>
      <c r="E1142" s="523"/>
    </row>
    <row r="1143" spans="1:5" x14ac:dyDescent="0.2">
      <c r="A1143" s="522"/>
      <c r="B1143" s="522"/>
      <c r="C1143" s="522"/>
      <c r="D1143" s="531"/>
      <c r="E1143" s="523"/>
    </row>
    <row r="1144" spans="1:5" x14ac:dyDescent="0.2">
      <c r="A1144" s="525" t="s">
        <v>1077</v>
      </c>
      <c r="B1144" s="525"/>
      <c r="C1144" s="525"/>
      <c r="D1144" s="525"/>
      <c r="E1144" s="527">
        <f>(E1138-E1139-E1140)+(E1141+E1142+E1143)</f>
        <v>0</v>
      </c>
    </row>
    <row r="1145" spans="1:5" x14ac:dyDescent="0.2">
      <c r="A1145" s="522" t="s">
        <v>991</v>
      </c>
      <c r="B1145" s="522" t="s">
        <v>991</v>
      </c>
      <c r="C1145" s="522">
        <v>2500</v>
      </c>
      <c r="D1145" s="531">
        <v>6890</v>
      </c>
      <c r="E1145" s="523">
        <f>SUMIFS('Accounting data'!$G$2:$G$37000,'Accounting data'!$J$2:$J$37000,"25*",'Accounting data'!$K$2:$K$37000,"689*")</f>
        <v>0</v>
      </c>
    </row>
    <row r="1146" spans="1:5" x14ac:dyDescent="0.2">
      <c r="A1146" s="522" t="s">
        <v>992</v>
      </c>
      <c r="B1146" s="522" t="s">
        <v>991</v>
      </c>
      <c r="C1146" s="522">
        <v>2500</v>
      </c>
      <c r="D1146" s="531">
        <v>6890</v>
      </c>
      <c r="E1146" s="523">
        <f>SUMIFS('Accounting data'!$G$2:$G$37000,'Accounting data'!$H$2:$H$37000,"9999*",'Accounting data'!$J$2:$J$37000,"25*",'Accounting data'!$K$2:$K$37000,"689*")</f>
        <v>0</v>
      </c>
    </row>
    <row r="1147" spans="1:5" x14ac:dyDescent="0.2">
      <c r="A1147" s="522" t="s">
        <v>991</v>
      </c>
      <c r="B1147" s="522" t="s">
        <v>993</v>
      </c>
      <c r="C1147" s="522">
        <v>2500</v>
      </c>
      <c r="D1147" s="531">
        <v>6890</v>
      </c>
      <c r="E1147" s="523">
        <f>SUMIFS('Accounting data'!$G$2:$G$37000,'Accounting data'!$I$2:$I$37000,"7*",'Accounting data'!$J$2:$J$37000,"25*",'Accounting data'!$K$2:$K$37000,"689*")+SUMIFS('Accounting data'!$G$2:$G$37000,'Accounting data'!$I$2:$I$37000,"8*",'Accounting data'!$J$2:$J$37000,"25*",'Accounting data'!$K$2:$K$37000,"689*")+SUMIFS('Accounting data'!$G$2:$G$37000,'Accounting data'!$I$2:$I$37000,"9*",'Accounting data'!$J$2:$J$37000,"25*",'Accounting data'!$K$2:$K$37000,"689*")</f>
        <v>0</v>
      </c>
    </row>
    <row r="1148" spans="1:5" x14ac:dyDescent="0.2">
      <c r="A1148" s="524" t="s">
        <v>992</v>
      </c>
      <c r="B1148" s="522" t="s">
        <v>993</v>
      </c>
      <c r="C1148" s="522">
        <v>2500</v>
      </c>
      <c r="D1148" s="531">
        <v>6890</v>
      </c>
      <c r="E1148" s="523">
        <f>SUMIFS('Accounting data'!$G$2:$G$37000,'Accounting data'!$H$2:$H$37000,"9999*",'Accounting data'!$I$2:$I$37000,"7*",'Accounting data'!$J$2:$J$37000,"25*",'Accounting data'!$K$2:$K$37000,"689*")+SUMIFS('Accounting data'!$G$2:$G$37000,'Accounting data'!$H$2:$H$37000,"9999*",'Accounting data'!$I$2:$I$37000,"8*",'Accounting data'!$J$2:$J$37000,"25*",'Accounting data'!$K$2:$K$37000,"689*")+SUMIFS('Accounting data'!$G$2:$G$37000,'Accounting data'!$H$2:$H$37000,"9999*",'Accounting data'!$I$2:$I$37000,"9*",'Accounting data'!$J$2:$J$37000,"25*",'Accounting data'!$K$2:$K$37000,"689*")</f>
        <v>0</v>
      </c>
    </row>
    <row r="1149" spans="1:5" x14ac:dyDescent="0.2">
      <c r="A1149" s="522"/>
      <c r="B1149" s="522"/>
      <c r="C1149" s="522"/>
      <c r="D1149" s="531"/>
      <c r="E1149" s="523"/>
    </row>
    <row r="1150" spans="1:5" x14ac:dyDescent="0.2">
      <c r="A1150" s="522"/>
      <c r="B1150" s="522"/>
      <c r="C1150" s="522"/>
      <c r="D1150" s="531"/>
      <c r="E1150" s="523"/>
    </row>
    <row r="1151" spans="1:5" x14ac:dyDescent="0.2">
      <c r="A1151" s="525" t="s">
        <v>1078</v>
      </c>
      <c r="B1151" s="525"/>
      <c r="C1151" s="525"/>
      <c r="D1151" s="525"/>
      <c r="E1151" s="527">
        <f>(E1145-E1146-E1147)+(E1148+E1149+E1150)</f>
        <v>0</v>
      </c>
    </row>
    <row r="1152" spans="1:5" x14ac:dyDescent="0.2">
      <c r="A1152" s="522" t="s">
        <v>991</v>
      </c>
      <c r="B1152" s="522" t="s">
        <v>991</v>
      </c>
      <c r="C1152" s="522">
        <v>2900</v>
      </c>
      <c r="D1152" s="531">
        <v>6890</v>
      </c>
      <c r="E1152" s="523">
        <f>SUMIFS('Accounting data'!$G$2:$G$37000,'Accounting data'!$J$2:$J$37000,"29*",'Accounting data'!$K$2:$K$37000,"689*")</f>
        <v>0</v>
      </c>
    </row>
    <row r="1153" spans="1:5" x14ac:dyDescent="0.2">
      <c r="A1153" s="522" t="s">
        <v>992</v>
      </c>
      <c r="B1153" s="522" t="s">
        <v>991</v>
      </c>
      <c r="C1153" s="522">
        <v>2900</v>
      </c>
      <c r="D1153" s="531">
        <v>6890</v>
      </c>
      <c r="E1153" s="523">
        <f>SUMIFS('Accounting data'!$G$2:$G$37000,'Accounting data'!$H$2:$H$37000,"9999*",'Accounting data'!$J$2:$J$37000,"29*",'Accounting data'!$K$2:$K$37000,"689*")</f>
        <v>0</v>
      </c>
    </row>
    <row r="1154" spans="1:5" x14ac:dyDescent="0.2">
      <c r="A1154" s="522" t="s">
        <v>991</v>
      </c>
      <c r="B1154" s="522" t="s">
        <v>993</v>
      </c>
      <c r="C1154" s="522">
        <v>2900</v>
      </c>
      <c r="D1154" s="531">
        <v>6890</v>
      </c>
      <c r="E1154" s="523">
        <f>SUMIFS('Accounting data'!$G$2:$G$37000,'Accounting data'!$I$2:$I$37000,"7*",'Accounting data'!$J$2:$J$37000,"29*",'Accounting data'!$K$2:$K$37000,"689*")+SUMIFS('Accounting data'!$G$2:$G$37000,'Accounting data'!$I$2:$I$37000,"8*",'Accounting data'!$J$2:$J$37000,"29*",'Accounting data'!$K$2:$K$37000,"689*")+SUMIFS('Accounting data'!$G$2:$G$37000,'Accounting data'!$I$2:$I$37000,"9*",'Accounting data'!$J$2:$J$37000,"29*",'Accounting data'!$K$2:$K$37000,"689*")</f>
        <v>0</v>
      </c>
    </row>
    <row r="1155" spans="1:5" x14ac:dyDescent="0.2">
      <c r="A1155" s="524" t="s">
        <v>992</v>
      </c>
      <c r="B1155" s="522" t="s">
        <v>993</v>
      </c>
      <c r="C1155" s="522">
        <v>2900</v>
      </c>
      <c r="D1155" s="531">
        <v>6890</v>
      </c>
      <c r="E1155" s="523">
        <f>SUMIFS('Accounting data'!$G$2:$G$37000,'Accounting data'!$H$2:$H$37000,"9999*",'Accounting data'!$I$2:$I$37000,"7*",'Accounting data'!$J$2:$J$37000,"29*",'Accounting data'!$K$2:$K$37000,"689*")+SUMIFS('Accounting data'!$G$2:$G$37000,'Accounting data'!$H$2:$H$37000,"9999*",'Accounting data'!$I$2:$I$37000,"8*",'Accounting data'!$J$2:$J$37000,"29*",'Accounting data'!$K$2:$K$37000,"689*")+SUMIFS('Accounting data'!$G$2:$G$37000,'Accounting data'!$H$2:$H$37000,"9999*",'Accounting data'!$I$2:$I$37000,"9*",'Accounting data'!$J$2:$J$37000,"29*",'Accounting data'!$K$2:$K$37000,"689*")</f>
        <v>0</v>
      </c>
    </row>
    <row r="1156" spans="1:5" x14ac:dyDescent="0.2">
      <c r="A1156" s="522"/>
      <c r="B1156" s="522"/>
      <c r="C1156" s="522"/>
      <c r="D1156" s="531"/>
      <c r="E1156" s="523"/>
    </row>
    <row r="1157" spans="1:5" x14ac:dyDescent="0.2">
      <c r="A1157" s="522"/>
      <c r="B1157" s="522"/>
      <c r="C1157" s="522"/>
      <c r="D1157" s="531"/>
      <c r="E1157" s="523"/>
    </row>
    <row r="1158" spans="1:5" x14ac:dyDescent="0.2">
      <c r="A1158" s="525" t="s">
        <v>1079</v>
      </c>
      <c r="B1158" s="525"/>
      <c r="C1158" s="525"/>
      <c r="D1158" s="525"/>
      <c r="E1158" s="527">
        <f>(E1152-E1153-E1154)+(E1155+E1156+E1157)</f>
        <v>0</v>
      </c>
    </row>
    <row r="1159" spans="1:5" x14ac:dyDescent="0.2">
      <c r="A1159" s="522" t="s">
        <v>991</v>
      </c>
      <c r="B1159" s="522" t="s">
        <v>991</v>
      </c>
      <c r="C1159" s="522">
        <v>2600</v>
      </c>
      <c r="D1159" s="531">
        <v>6890</v>
      </c>
      <c r="E1159" s="523">
        <f>SUMIFS('Accounting data'!$G$2:$G$37000,'Accounting data'!$J$2:$J$37000,"26*",'Accounting data'!$K$2:$K$37000,"689*")</f>
        <v>0</v>
      </c>
    </row>
    <row r="1160" spans="1:5" x14ac:dyDescent="0.2">
      <c r="A1160" s="522" t="s">
        <v>992</v>
      </c>
      <c r="B1160" s="522" t="s">
        <v>991</v>
      </c>
      <c r="C1160" s="522">
        <v>2600</v>
      </c>
      <c r="D1160" s="531">
        <v>6890</v>
      </c>
      <c r="E1160" s="523">
        <f>SUMIFS('Accounting data'!$G$2:$G$37000,'Accounting data'!$H$2:$H$37000,"9999*",'Accounting data'!$J$2:$J$37000,"26*",'Accounting data'!$K$2:$K$37000,"689*")</f>
        <v>0</v>
      </c>
    </row>
    <row r="1161" spans="1:5" x14ac:dyDescent="0.2">
      <c r="A1161" s="522" t="s">
        <v>991</v>
      </c>
      <c r="B1161" s="522" t="s">
        <v>993</v>
      </c>
      <c r="C1161" s="522">
        <v>2600</v>
      </c>
      <c r="D1161" s="531">
        <v>6890</v>
      </c>
      <c r="E1161" s="523">
        <f>SUMIFS('Accounting data'!$G$2:$G$37000,'Accounting data'!$I$2:$I$37000,"7*",'Accounting data'!$J$2:$J$37000,"26*",'Accounting data'!$K$2:$K$37000,"689*")+SUMIFS('Accounting data'!$G$2:$G$37000,'Accounting data'!$I$2:$I$37000,"8*",'Accounting data'!$J$2:$J$37000,"26*",'Accounting data'!$K$2:$K$37000,"689*")+SUMIFS('Accounting data'!$G$2:$G$37000,'Accounting data'!$I$2:$I$37000,"9*",'Accounting data'!$J$2:$J$37000,"26*",'Accounting data'!$K$2:$K$37000,"689*")</f>
        <v>0</v>
      </c>
    </row>
    <row r="1162" spans="1:5" x14ac:dyDescent="0.2">
      <c r="A1162" s="524" t="s">
        <v>992</v>
      </c>
      <c r="B1162" s="522" t="s">
        <v>993</v>
      </c>
      <c r="C1162" s="522">
        <v>2600</v>
      </c>
      <c r="D1162" s="531">
        <v>6890</v>
      </c>
      <c r="E1162" s="523">
        <f>SUMIFS('Accounting data'!$G$2:$G$37000,'Accounting data'!$H$2:$H$37000,"9999*",'Accounting data'!$I$2:$I$37000,"7*",'Accounting data'!$J$2:$J$37000,"26*",'Accounting data'!$K$2:$K$37000,"689*")+SUMIFS('Accounting data'!$G$2:$G$37000,'Accounting data'!$H$2:$H$37000,"9999*",'Accounting data'!$I$2:$I$37000,"8*",'Accounting data'!$J$2:$J$37000,"26*",'Accounting data'!$K$2:$K$37000,"689*")+SUMIFS('Accounting data'!$G$2:$G$37000,'Accounting data'!$H$2:$H$37000,"9999*",'Accounting data'!$I$2:$I$37000,"9*",'Accounting data'!$J$2:$J$37000,"26*",'Accounting data'!$K$2:$K$37000,"689*")</f>
        <v>0</v>
      </c>
    </row>
    <row r="1163" spans="1:5" x14ac:dyDescent="0.2">
      <c r="A1163" s="522"/>
      <c r="B1163" s="522"/>
      <c r="C1163" s="522"/>
      <c r="D1163" s="531"/>
      <c r="E1163" s="523"/>
    </row>
    <row r="1164" spans="1:5" x14ac:dyDescent="0.2">
      <c r="A1164" s="522"/>
      <c r="B1164" s="522"/>
      <c r="C1164" s="522"/>
      <c r="D1164" s="531"/>
      <c r="E1164" s="523"/>
    </row>
    <row r="1165" spans="1:5" x14ac:dyDescent="0.2">
      <c r="A1165" s="525" t="s">
        <v>1080</v>
      </c>
      <c r="B1165" s="525"/>
      <c r="C1165" s="525"/>
      <c r="D1165" s="525"/>
      <c r="E1165" s="527">
        <f>(E1159-E1160-E1161)+(E1162+E1163+E1164)</f>
        <v>0</v>
      </c>
    </row>
    <row r="1166" spans="1:5" x14ac:dyDescent="0.2">
      <c r="A1166" s="522" t="s">
        <v>991</v>
      </c>
      <c r="B1166" s="522" t="s">
        <v>991</v>
      </c>
      <c r="C1166" s="522">
        <v>2700</v>
      </c>
      <c r="D1166" s="531">
        <v>6890</v>
      </c>
      <c r="E1166" s="523">
        <f>SUMIFS('Accounting data'!$G$2:$G$37000,'Accounting data'!$J$2:$J$37000,"27*",'Accounting data'!$K$2:$K$37000,"689*")</f>
        <v>0</v>
      </c>
    </row>
    <row r="1167" spans="1:5" x14ac:dyDescent="0.2">
      <c r="A1167" s="522" t="s">
        <v>992</v>
      </c>
      <c r="B1167" s="522" t="s">
        <v>991</v>
      </c>
      <c r="C1167" s="522">
        <v>2700</v>
      </c>
      <c r="D1167" s="531">
        <v>6890</v>
      </c>
      <c r="E1167" s="523">
        <f>SUMIFS('Accounting data'!$G$2:$G$37000,'Accounting data'!$H$2:$H$37000,"9999*",'Accounting data'!$J$2:$J$37000,"27*",'Accounting data'!$K$2:$K$37000,"689*")</f>
        <v>0</v>
      </c>
    </row>
    <row r="1168" spans="1:5" x14ac:dyDescent="0.2">
      <c r="A1168" s="522" t="s">
        <v>991</v>
      </c>
      <c r="B1168" s="522" t="s">
        <v>993</v>
      </c>
      <c r="C1168" s="522">
        <v>2700</v>
      </c>
      <c r="D1168" s="531">
        <v>6890</v>
      </c>
      <c r="E1168" s="523">
        <f>SUMIFS('Accounting data'!$G$2:$G$37000,'Accounting data'!$I$2:$I$37000,"7*",'Accounting data'!$J$2:$J$37000,"27*",'Accounting data'!$K$2:$K$37000,"689*")+SUMIFS('Accounting data'!$G$2:$G$37000,'Accounting data'!$I$2:$I$37000,"8*",'Accounting data'!$J$2:$J$37000,"27*",'Accounting data'!$K$2:$K$37000,"689*")+SUMIFS('Accounting data'!$G$2:$G$37000,'Accounting data'!$I$2:$I$37000,"9*",'Accounting data'!$J$2:$J$37000,"27*",'Accounting data'!$K$2:$K$37000,"689*")</f>
        <v>0</v>
      </c>
    </row>
    <row r="1169" spans="1:5" x14ac:dyDescent="0.2">
      <c r="A1169" s="524" t="s">
        <v>992</v>
      </c>
      <c r="B1169" s="522" t="s">
        <v>993</v>
      </c>
      <c r="C1169" s="522">
        <v>2700</v>
      </c>
      <c r="D1169" s="531">
        <v>6890</v>
      </c>
      <c r="E1169" s="523">
        <f>SUMIFS('Accounting data'!$G$2:$G$37000,'Accounting data'!$H$2:$H$37000,"9999*",'Accounting data'!$I$2:$I$37000,"7*",'Accounting data'!$J$2:$J$37000,"27*",'Accounting data'!$K$2:$K$37000,"689*")+SUMIFS('Accounting data'!$G$2:$G$37000,'Accounting data'!$H$2:$H$37000,"9999*",'Accounting data'!$I$2:$I$37000,"8*",'Accounting data'!$J$2:$J$37000,"27*",'Accounting data'!$K$2:$K$37000,"689*")+SUMIFS('Accounting data'!$G$2:$G$37000,'Accounting data'!$H$2:$H$37000,"9999*",'Accounting data'!$I$2:$I$37000,"9*",'Accounting data'!$J$2:$J$37000,"27*",'Accounting data'!$K$2:$K$37000,"689*")</f>
        <v>0</v>
      </c>
    </row>
    <row r="1170" spans="1:5" x14ac:dyDescent="0.2">
      <c r="A1170" s="522"/>
      <c r="B1170" s="522"/>
      <c r="C1170" s="522"/>
      <c r="D1170" s="531"/>
      <c r="E1170" s="523"/>
    </row>
    <row r="1171" spans="1:5" x14ac:dyDescent="0.2">
      <c r="A1171" s="522"/>
      <c r="B1171" s="522"/>
      <c r="C1171" s="522"/>
      <c r="D1171" s="531"/>
      <c r="E1171" s="523"/>
    </row>
    <row r="1172" spans="1:5" x14ac:dyDescent="0.2">
      <c r="A1172" s="525" t="s">
        <v>1081</v>
      </c>
      <c r="B1172" s="525"/>
      <c r="C1172" s="525"/>
      <c r="D1172" s="525"/>
      <c r="E1172" s="527">
        <f>(E1166-E1167-E1168)+(E1169+E1170+E1171)</f>
        <v>0</v>
      </c>
    </row>
    <row r="1173" spans="1:5" x14ac:dyDescent="0.2">
      <c r="A1173" s="522" t="s">
        <v>991</v>
      </c>
      <c r="B1173" s="522" t="s">
        <v>991</v>
      </c>
      <c r="C1173" s="522">
        <v>3100</v>
      </c>
      <c r="D1173" s="531">
        <v>6890</v>
      </c>
      <c r="E1173" s="523">
        <f>SUMIFS('Accounting data'!$G$2:$G$37000,'Accounting data'!$J$2:$J$37000,"31*",'Accounting data'!$K$2:$K$37000,"689*")</f>
        <v>0</v>
      </c>
    </row>
    <row r="1174" spans="1:5" x14ac:dyDescent="0.2">
      <c r="A1174" s="522" t="s">
        <v>992</v>
      </c>
      <c r="B1174" s="522" t="s">
        <v>991</v>
      </c>
      <c r="C1174" s="522">
        <v>3100</v>
      </c>
      <c r="D1174" s="531">
        <v>6890</v>
      </c>
      <c r="E1174" s="523">
        <f>SUMIFS('Accounting data'!$G$2:$G$37000,'Accounting data'!$H$2:$H$37000,"9999*",'Accounting data'!$J$2:$J$37000,"31*",'Accounting data'!$K$2:$K$37000,"689*")</f>
        <v>0</v>
      </c>
    </row>
    <row r="1175" spans="1:5" x14ac:dyDescent="0.2">
      <c r="A1175" s="522" t="s">
        <v>991</v>
      </c>
      <c r="B1175" s="522" t="s">
        <v>993</v>
      </c>
      <c r="C1175" s="522">
        <v>3100</v>
      </c>
      <c r="D1175" s="531">
        <v>6890</v>
      </c>
      <c r="E1175" s="523">
        <f>SUMIFS('Accounting data'!$G$2:$G$37000,'Accounting data'!$I$2:$I$37000,"7*",'Accounting data'!$J$2:$J$37000,"31*",'Accounting data'!$K$2:$K$37000,"689*")+SUMIFS('Accounting data'!$G$2:$G$37000,'Accounting data'!$I$2:$I$37000,"8*",'Accounting data'!$J$2:$J$37000,"31*",'Accounting data'!$K$2:$K$37000,"689*")+SUMIFS('Accounting data'!$G$2:$G$37000,'Accounting data'!$I$2:$I$37000,"9*",'Accounting data'!$J$2:$J$37000,"31*",'Accounting data'!$K$2:$K$37000,"689*")</f>
        <v>0</v>
      </c>
    </row>
    <row r="1176" spans="1:5" x14ac:dyDescent="0.2">
      <c r="A1176" s="524" t="s">
        <v>992</v>
      </c>
      <c r="B1176" s="522" t="s">
        <v>993</v>
      </c>
      <c r="C1176" s="522">
        <v>3100</v>
      </c>
      <c r="D1176" s="531">
        <v>6890</v>
      </c>
      <c r="E1176" s="523">
        <f>SUMIFS('Accounting data'!$G$2:$G$37000,'Accounting data'!$H$2:$H$37000,"9999*",'Accounting data'!$I$2:$I$37000,"7*",'Accounting data'!$J$2:$J$37000,"31*",'Accounting data'!$K$2:$K$37000,"689*")+SUMIFS('Accounting data'!$G$2:$G$37000,'Accounting data'!$H$2:$H$37000,"9999*",'Accounting data'!$I$2:$I$37000,"8*",'Accounting data'!$J$2:$J$37000,"31*",'Accounting data'!$K$2:$K$37000,"689*")+SUMIFS('Accounting data'!$G$2:$G$37000,'Accounting data'!$H$2:$H$37000,"9999*",'Accounting data'!$I$2:$I$37000,"9*",'Accounting data'!$J$2:$J$37000,"31*",'Accounting data'!$K$2:$K$37000,"689*")</f>
        <v>0</v>
      </c>
    </row>
    <row r="1177" spans="1:5" x14ac:dyDescent="0.2">
      <c r="A1177" s="522"/>
      <c r="B1177" s="522"/>
      <c r="C1177" s="522"/>
      <c r="D1177" s="531"/>
      <c r="E1177" s="523"/>
    </row>
    <row r="1178" spans="1:5" x14ac:dyDescent="0.2">
      <c r="A1178" s="522"/>
      <c r="B1178" s="522"/>
      <c r="C1178" s="522"/>
      <c r="D1178" s="531"/>
      <c r="E1178" s="523"/>
    </row>
    <row r="1179" spans="1:5" x14ac:dyDescent="0.2">
      <c r="A1179" s="525" t="s">
        <v>1082</v>
      </c>
      <c r="B1179" s="525"/>
      <c r="C1179" s="525"/>
      <c r="D1179" s="525"/>
      <c r="E1179" s="527">
        <f>(E1173-E1174-E1175)+(E1176+E1177+E1178)</f>
        <v>0</v>
      </c>
    </row>
    <row r="1186" spans="1:5" x14ac:dyDescent="0.2">
      <c r="A1186" s="525" t="s">
        <v>1083</v>
      </c>
      <c r="B1186" s="525"/>
      <c r="C1186" s="525"/>
      <c r="D1186" s="525"/>
      <c r="E1186" s="527">
        <f>(E1180-E1181-E1182)+(E1183+E1184+E1185)</f>
        <v>0</v>
      </c>
    </row>
    <row r="1187" spans="1:5" x14ac:dyDescent="0.2">
      <c r="A1187" s="522" t="s">
        <v>991</v>
      </c>
      <c r="B1187" s="522" t="s">
        <v>991</v>
      </c>
      <c r="C1187" s="522">
        <v>3400</v>
      </c>
      <c r="D1187" s="531">
        <v>6890</v>
      </c>
      <c r="E1187" s="523">
        <f>SUMIFS('Accounting data'!$G$2:$G$37000,'Accounting data'!$J$2:$J$37000,"34*",'Accounting data'!$K$2:$K$37000,"689*")</f>
        <v>0</v>
      </c>
    </row>
    <row r="1188" spans="1:5" x14ac:dyDescent="0.2">
      <c r="A1188" s="522" t="s">
        <v>992</v>
      </c>
      <c r="B1188" s="522" t="s">
        <v>991</v>
      </c>
      <c r="C1188" s="522">
        <v>3400</v>
      </c>
      <c r="D1188" s="531">
        <v>6890</v>
      </c>
      <c r="E1188" s="523">
        <f>SUMIFS('Accounting data'!$G$2:$G$37000,'Accounting data'!$H$2:$H$37000,"9999*",'Accounting data'!$J$2:$J$37000,"34*",'Accounting data'!$K$2:$K$37000,"689*")</f>
        <v>0</v>
      </c>
    </row>
    <row r="1189" spans="1:5" x14ac:dyDescent="0.2">
      <c r="A1189" s="522" t="s">
        <v>991</v>
      </c>
      <c r="B1189" s="522" t="s">
        <v>993</v>
      </c>
      <c r="C1189" s="522">
        <v>3400</v>
      </c>
      <c r="D1189" s="531">
        <v>6890</v>
      </c>
      <c r="E1189" s="523">
        <f>SUMIFS('Accounting data'!$G$2:$G$37000,'Accounting data'!$I$2:$I$37000,"7*",'Accounting data'!$J$2:$J$37000,"34*",'Accounting data'!$K$2:$K$37000,"689*")+SUMIFS('Accounting data'!$G$2:$G$37000,'Accounting data'!$I$2:$I$37000,"8*",'Accounting data'!$J$2:$J$37000,"34*",'Accounting data'!$K$2:$K$37000,"689*")+SUMIFS('Accounting data'!$G$2:$G$37000,'Accounting data'!$I$2:$I$37000,"9*",'Accounting data'!$J$2:$J$37000,"34*",'Accounting data'!$K$2:$K$37000,"689*")</f>
        <v>0</v>
      </c>
    </row>
    <row r="1190" spans="1:5" x14ac:dyDescent="0.2">
      <c r="A1190" s="524" t="s">
        <v>992</v>
      </c>
      <c r="B1190" s="522" t="s">
        <v>993</v>
      </c>
      <c r="C1190" s="522">
        <v>3400</v>
      </c>
      <c r="D1190" s="531">
        <v>6890</v>
      </c>
      <c r="E1190" s="523">
        <f>SUMIFS('Accounting data'!$G$2:$G$37000,'Accounting data'!$H$2:$H$37000,"9999*",'Accounting data'!$I$2:$I$37000,"7*",'Accounting data'!$J$2:$J$37000,"34*",'Accounting data'!$K$2:$K$37000,"689*")+SUMIFS('Accounting data'!$G$2:$G$37000,'Accounting data'!$H$2:$H$37000,"9999*",'Accounting data'!$I$2:$I$37000,"8*",'Accounting data'!$J$2:$J$37000,"34*",'Accounting data'!$K$2:$K$37000,"689*")+SUMIFS('Accounting data'!$G$2:$G$37000,'Accounting data'!$H$2:$H$37000,"9999*",'Accounting data'!$I$2:$I$37000,"9*",'Accounting data'!$J$2:$J$37000,"34*",'Accounting data'!$K$2:$K$37000,"689*")</f>
        <v>0</v>
      </c>
    </row>
    <row r="1191" spans="1:5" x14ac:dyDescent="0.2">
      <c r="A1191" s="522"/>
      <c r="B1191" s="522"/>
      <c r="C1191" s="522"/>
      <c r="D1191" s="531"/>
      <c r="E1191" s="523"/>
    </row>
    <row r="1192" spans="1:5" x14ac:dyDescent="0.2">
      <c r="A1192" s="522"/>
      <c r="B1192" s="522"/>
      <c r="C1192" s="522"/>
      <c r="D1192" s="531"/>
      <c r="E1192" s="523"/>
    </row>
    <row r="1193" spans="1:5" x14ac:dyDescent="0.2">
      <c r="A1193" s="525" t="s">
        <v>1084</v>
      </c>
      <c r="B1193" s="525"/>
      <c r="C1193" s="525"/>
      <c r="D1193" s="525"/>
      <c r="E1193" s="527">
        <f>(E1187-E1188-E1189)+(E1190+E1191+E1192)</f>
        <v>0</v>
      </c>
    </row>
    <row r="1194" spans="1:5" x14ac:dyDescent="0.2">
      <c r="A1194" s="522" t="s">
        <v>991</v>
      </c>
      <c r="B1194" s="522" t="s">
        <v>991</v>
      </c>
      <c r="C1194" s="522">
        <v>4000</v>
      </c>
      <c r="D1194" s="531">
        <v>6890</v>
      </c>
      <c r="E1194" s="523">
        <f>SUMIFS('Accounting data'!$G$2:$G$37000,'Accounting data'!$J$2:$J$37000,"4*",'Accounting data'!$K$2:$K$37000,"689*")</f>
        <v>0</v>
      </c>
    </row>
    <row r="1195" spans="1:5" x14ac:dyDescent="0.2">
      <c r="A1195" s="522" t="s">
        <v>992</v>
      </c>
      <c r="B1195" s="522" t="s">
        <v>991</v>
      </c>
      <c r="C1195" s="522">
        <v>4000</v>
      </c>
      <c r="D1195" s="531">
        <v>6890</v>
      </c>
      <c r="E1195" s="523">
        <f>SUMIFS('Accounting data'!$G$2:$G$37000,'Accounting data'!$H$2:$H$37000,"9999*",'Accounting data'!$J$2:$J$37000,"4*",'Accounting data'!$K$2:$K$37000,"689*")</f>
        <v>0</v>
      </c>
    </row>
    <row r="1196" spans="1:5" x14ac:dyDescent="0.2">
      <c r="A1196" s="522" t="s">
        <v>991</v>
      </c>
      <c r="B1196" s="522" t="s">
        <v>993</v>
      </c>
      <c r="C1196" s="522">
        <v>4000</v>
      </c>
      <c r="D1196" s="531">
        <v>6890</v>
      </c>
      <c r="E1196" s="523">
        <f>SUMIFS('Accounting data'!$G$2:$G$37000,'Accounting data'!$I$2:$I$37000,"7*",'Accounting data'!$J$2:$J$37000,"4*",'Accounting data'!$K$2:$K$37000,"689*")+SUMIFS('Accounting data'!$G$2:$G$37000,'Accounting data'!$I$2:$I$37000,"8*",'Accounting data'!$J$2:$J$37000,"4*",'Accounting data'!$K$2:$K$37000,"689*")+SUMIFS('Accounting data'!$G$2:$G$37000,'Accounting data'!$I$2:$I$37000,"9*",'Accounting data'!$J$2:$J$37000,"4*",'Accounting data'!$K$2:$K$37000,"689*")</f>
        <v>0</v>
      </c>
    </row>
    <row r="1197" spans="1:5" x14ac:dyDescent="0.2">
      <c r="A1197" s="524" t="s">
        <v>992</v>
      </c>
      <c r="B1197" s="522" t="s">
        <v>993</v>
      </c>
      <c r="C1197" s="522">
        <v>4000</v>
      </c>
      <c r="D1197" s="531">
        <v>6890</v>
      </c>
      <c r="E1197" s="523">
        <f>SUMIFS('Accounting data'!$G$2:$G$37000,'Accounting data'!$H$2:$H$37000,"9999*",'Accounting data'!$I$2:$I$37000,"7*",'Accounting data'!$J$2:$J$37000,"4*",'Accounting data'!$K$2:$K$37000,"689*")+SUMIFS('Accounting data'!$G$2:$G$37000,'Accounting data'!$H$2:$H$37000,"9999*",'Accounting data'!$I$2:$I$37000,"8*",'Accounting data'!$J$2:$J$37000,"4*",'Accounting data'!$K$2:$K$37000,"689*")+SUMIFS('Accounting data'!$G$2:$G$37000,'Accounting data'!$H$2:$H$37000,"9999*",'Accounting data'!$I$2:$I$37000,"9*",'Accounting data'!$J$2:$J$37000,"4*",'Accounting data'!$K$2:$K$37000,"689*")</f>
        <v>0</v>
      </c>
    </row>
    <row r="1198" spans="1:5" x14ac:dyDescent="0.2">
      <c r="A1198" s="522"/>
      <c r="B1198" s="522"/>
      <c r="C1198" s="522"/>
      <c r="D1198" s="531"/>
      <c r="E1198" s="523"/>
    </row>
    <row r="1199" spans="1:5" x14ac:dyDescent="0.2">
      <c r="A1199" s="522"/>
      <c r="B1199" s="522"/>
      <c r="C1199" s="522"/>
      <c r="D1199" s="531"/>
      <c r="E1199" s="523"/>
    </row>
    <row r="1200" spans="1:5" x14ac:dyDescent="0.2">
      <c r="A1200" s="525" t="s">
        <v>1085</v>
      </c>
      <c r="B1200" s="525"/>
      <c r="C1200" s="525"/>
      <c r="D1200" s="525"/>
      <c r="E1200" s="527">
        <f>(E1194-E1195-E1196)+(E1197+E1198+E1199)</f>
        <v>0</v>
      </c>
    </row>
    <row r="1201" spans="1:5" x14ac:dyDescent="0.2">
      <c r="A1201" s="528" t="s">
        <v>1086</v>
      </c>
      <c r="B1201" s="528"/>
      <c r="C1201" s="528"/>
      <c r="D1201" s="528"/>
      <c r="E1201" s="532">
        <f>E1116+E1123+E1130+E1137+E1144+E1151+E1158+E1165+E1172+E1179+E1186+E1193</f>
        <v>0</v>
      </c>
    </row>
    <row r="1202" spans="1:5" x14ac:dyDescent="0.2">
      <c r="A1202" s="522" t="s">
        <v>1007</v>
      </c>
      <c r="B1202" s="522" t="s">
        <v>991</v>
      </c>
      <c r="C1202" s="522">
        <v>1000</v>
      </c>
      <c r="D1202" s="522">
        <v>6890</v>
      </c>
      <c r="E1202" s="523">
        <f>SUMIFS('Accounting data'!$G$2:$G$37000,'Accounting data'!$H$2:$H$37000,"11*",'Accounting data'!$J$2:$J$37000,"1*",'Accounting data'!$K$2:$K$37000,"689*")+SUMIFS('Accounting data'!$G$2:$G$37000,'Accounting data'!$H$2:$H$37000,"12*",'Accounting data'!$J$2:$J$37000,"1*",'Accounting data'!$K$2:$K$37000,"689*")+SUMIFS('Accounting data'!$G$2:$G$37000,'Accounting data'!$H$2:$H$37000,"13*",'Accounting data'!$J$2:$J$37000,"1*",'Accounting data'!$K$2:$K$37000,"689*")</f>
        <v>0</v>
      </c>
    </row>
    <row r="1203" spans="1:5" x14ac:dyDescent="0.2">
      <c r="A1203" s="522" t="s">
        <v>1007</v>
      </c>
      <c r="B1203" s="522" t="s">
        <v>991</v>
      </c>
      <c r="C1203" s="522">
        <v>2000</v>
      </c>
      <c r="D1203" s="522">
        <v>6890</v>
      </c>
      <c r="E1203" s="523">
        <f>SUMIFS('Accounting data'!$G$2:$G$37000,'Accounting data'!$H$2:$H$37000,"11*",'Accounting data'!$J$2:$J$37000,"2*",'Accounting data'!$K$2:$K$37000,"689*")+SUMIFS('Accounting data'!$G$2:$G$37000,'Accounting data'!$H$2:$H$37000,"12*",'Accounting data'!$J$2:$J$37000,"2*",'Accounting data'!$K$2:$K$37000,"689*")+SUMIFS('Accounting data'!$G$2:$G$37000,'Accounting data'!$H$2:$H$37000,"13*",'Accounting data'!$J$2:$J$37000,"2*",'Accounting data'!$K$2:$K$37000,"689*")</f>
        <v>0</v>
      </c>
    </row>
    <row r="1204" spans="1:5" x14ac:dyDescent="0.2">
      <c r="A1204" s="522" t="s">
        <v>1007</v>
      </c>
      <c r="B1204" s="522" t="s">
        <v>991</v>
      </c>
      <c r="C1204" s="522">
        <v>3000</v>
      </c>
      <c r="D1204" s="522">
        <v>6890</v>
      </c>
      <c r="E1204" s="523">
        <f>SUMIFS('Accounting data'!$G$2:$G$37000,'Accounting data'!$H$2:$H$37000,"11*",'Accounting data'!$J$2:$J$37000,"3*",'Accounting data'!$K$2:$K$37000,"689*")+SUMIFS('Accounting data'!$G$2:$G$37000,'Accounting data'!$H$2:$H$37000,"12*",'Accounting data'!$J$2:$J$37000,"3*",'Accounting data'!$K$2:$K$37000,"689*")+SUMIFS('Accounting data'!$G$2:$G$37000,'Accounting data'!$H$2:$H$37000,"13*",'Accounting data'!$J$2:$J$37000,"3*",'Accounting data'!$K$2:$K$37000,"689*")</f>
        <v>0</v>
      </c>
    </row>
    <row r="1205" spans="1:5" x14ac:dyDescent="0.2">
      <c r="A1205" s="522" t="s">
        <v>1007</v>
      </c>
      <c r="B1205" s="524">
        <v>700</v>
      </c>
      <c r="C1205" s="522">
        <v>1000</v>
      </c>
      <c r="D1205" s="522">
        <v>6890</v>
      </c>
      <c r="E1205" s="523">
        <f>SUMIFS('Accounting data'!$G$2:$G$37000,'Accounting data'!$H$2:$H$37000,"11*",'Accounting data'!$I$2:$I$37000,"7*",'Accounting data'!$J$2:$J$37000,"1*",'Accounting data'!$K$2:$K$37000,"689*")+SUMIFS('Accounting data'!$G$2:$G$37000,'Accounting data'!$H$2:$H$37000,"12*",'Accounting data'!$I$2:$I$37000,"7*",'Accounting data'!$J$2:$J$37000,"1*",'Accounting data'!$K$2:$K$37000,"689*")+SUMIFS('Accounting data'!$G$2:$G$37000,'Accounting data'!$H$2:$H$37000,"13*",'Accounting data'!$I$2:$I$37000,"7*",'Accounting data'!$J$2:$J$37000,"1*",'Accounting data'!$K$2:$K$37000,"689*")</f>
        <v>0</v>
      </c>
    </row>
    <row r="1206" spans="1:5" x14ac:dyDescent="0.2">
      <c r="A1206" s="522" t="s">
        <v>1007</v>
      </c>
      <c r="B1206" s="524">
        <v>800</v>
      </c>
      <c r="C1206" s="522">
        <v>1000</v>
      </c>
      <c r="D1206" s="522">
        <v>6890</v>
      </c>
      <c r="E1206" s="523">
        <f>SUMIFS('Accounting data'!$G$2:$G$37000,'Accounting data'!$H$2:$H$37000,"11*",'Accounting data'!$I$2:$I$37000,"8*",'Accounting data'!$J$2:$J$37000,"1*",'Accounting data'!$K$2:$K$37000,"689*")+SUMIFS('Accounting data'!$G$2:$G$37000,'Accounting data'!$H$2:$H$37000,"12*",'Accounting data'!$I$2:$I$37000,"8*",'Accounting data'!$J$2:$J$37000,"1*",'Accounting data'!$K$2:$K$37000,"689*")+SUMIFS('Accounting data'!$G$2:$G$37000,'Accounting data'!$H$2:$H$37000,"13*",'Accounting data'!$I$2:$I$37000,"8*",'Accounting data'!$J$2:$J$37000,"1*",'Accounting data'!$K$2:$K$37000,"689*")</f>
        <v>0</v>
      </c>
    </row>
    <row r="1207" spans="1:5" x14ac:dyDescent="0.2">
      <c r="A1207" s="522" t="s">
        <v>1007</v>
      </c>
      <c r="B1207" s="524">
        <v>900</v>
      </c>
      <c r="C1207" s="522">
        <v>1000</v>
      </c>
      <c r="D1207" s="522">
        <v>6890</v>
      </c>
      <c r="E1207" s="523">
        <f>SUMIFS('Accounting data'!$G$2:$G$37000,'Accounting data'!$H$2:$H$37000,"11*",'Accounting data'!$I$2:$I$37000,"9*",'Accounting data'!$J$2:$J$37000,"1*",'Accounting data'!$K$2:$K$37000,"689*")+SUMIFS('Accounting data'!$G$2:$G$37000,'Accounting data'!$H$2:$H$37000,"12*",'Accounting data'!$I$2:$I$37000,"9*",'Accounting data'!$J$2:$J$37000,"1*",'Accounting data'!$K$2:$K$37000,"689*")+SUMIFS('Accounting data'!$G$2:$G$37000,'Accounting data'!$H$2:$H$37000,"13*",'Accounting data'!$I$2:$I$37000,"9*",'Accounting data'!$J$2:$J$37000,"1*",'Accounting data'!$K$2:$K$37000,"689*")</f>
        <v>0</v>
      </c>
    </row>
    <row r="1208" spans="1:5" x14ac:dyDescent="0.2">
      <c r="A1208" s="522" t="s">
        <v>1007</v>
      </c>
      <c r="B1208" s="524">
        <v>700</v>
      </c>
      <c r="C1208" s="522">
        <v>2000</v>
      </c>
      <c r="D1208" s="522">
        <v>6890</v>
      </c>
      <c r="E1208" s="523">
        <f>SUMIFS('Accounting data'!$G$2:$G$37000,'Accounting data'!$H$2:$H$37000,"11*",'Accounting data'!$I$2:$I$37000,"7*",'Accounting data'!$J$2:$J$37000,"2*",'Accounting data'!$K$2:$K$37000,"689*")+SUMIFS('Accounting data'!$G$2:$G$37000,'Accounting data'!$H$2:$H$37000,"12*",'Accounting data'!$I$2:$I$37000,"7*",'Accounting data'!$J$2:$J$37000,"2*",'Accounting data'!$K$2:$K$37000,"689*")+SUMIFS('Accounting data'!$G$2:$G$37000,'Accounting data'!$H$2:$H$37000,"13*",'Accounting data'!$I$2:$I$37000,"7*",'Accounting data'!$J$2:$J$37000,"2*",'Accounting data'!$K$2:$K$37000,"689*")</f>
        <v>0</v>
      </c>
    </row>
    <row r="1209" spans="1:5" x14ac:dyDescent="0.2">
      <c r="A1209" s="522" t="s">
        <v>1007</v>
      </c>
      <c r="B1209" s="524">
        <v>800</v>
      </c>
      <c r="C1209" s="522">
        <v>2000</v>
      </c>
      <c r="D1209" s="522">
        <v>6890</v>
      </c>
      <c r="E1209" s="523">
        <f>SUMIFS('Accounting data'!$G$2:$G$37000,'Accounting data'!$H$2:$H$37000,"11*",'Accounting data'!$I$2:$I$37000,"8*",'Accounting data'!$J$2:$J$37000,"2*",'Accounting data'!$K$2:$K$37000,"689*")+SUMIFS('Accounting data'!$G$2:$G$37000,'Accounting data'!$H$2:$H$37000,"12*",'Accounting data'!$I$2:$I$37000,"8*",'Accounting data'!$J$2:$J$37000,"2*",'Accounting data'!$K$2:$K$37000,"689*")+SUMIFS('Accounting data'!$G$2:$G$37000,'Accounting data'!$H$2:$H$37000,"13*",'Accounting data'!$I$2:$I$37000,"8*",'Accounting data'!$J$2:$J$37000,"2*",'Accounting data'!$K$2:$K$37000,"689*")</f>
        <v>0</v>
      </c>
    </row>
    <row r="1210" spans="1:5" x14ac:dyDescent="0.2">
      <c r="A1210" s="522" t="s">
        <v>1007</v>
      </c>
      <c r="B1210" s="524">
        <v>900</v>
      </c>
      <c r="C1210" s="522">
        <v>2000</v>
      </c>
      <c r="D1210" s="522">
        <v>6890</v>
      </c>
      <c r="E1210" s="523">
        <f>SUMIFS('Accounting data'!$G$2:$G$37000,'Accounting data'!$H$2:$H$37000,"11*",'Accounting data'!$I$2:$I$37000,"9*",'Accounting data'!$J$2:$J$37000,"2*",'Accounting data'!$K$2:$K$37000,"689*")+SUMIFS('Accounting data'!$G$2:$G$37000,'Accounting data'!$H$2:$H$37000,"12*",'Accounting data'!$I$2:$I$37000,"9*",'Accounting data'!$J$2:$J$37000,"2*",'Accounting data'!$K$2:$K$37000,"689*")+SUMIFS('Accounting data'!$G$2:$G$37000,'Accounting data'!$H$2:$H$37000,"13*",'Accounting data'!$I$2:$I$37000,"9*",'Accounting data'!$J$2:$J$37000,"2*",'Accounting data'!$K$2:$K$37000,"689*")</f>
        <v>0</v>
      </c>
    </row>
    <row r="1211" spans="1:5" x14ac:dyDescent="0.2">
      <c r="A1211" s="522" t="s">
        <v>1007</v>
      </c>
      <c r="B1211" s="524">
        <v>700</v>
      </c>
      <c r="C1211" s="522">
        <v>3000</v>
      </c>
      <c r="D1211" s="522">
        <v>6890</v>
      </c>
      <c r="E1211" s="523">
        <f>SUMIFS('Accounting data'!$G$2:$G$37000,'Accounting data'!$H$2:$H$37000,"11*",'Accounting data'!$I$2:$I$37000,"7*",'Accounting data'!$J$2:$J$37000,"3*",'Accounting data'!$K$2:$K$37000,"689*")+SUMIFS('Accounting data'!$G$2:$G$37000,'Accounting data'!$H$2:$H$37000,"12*",'Accounting data'!$I$2:$I$37000,"7*",'Accounting data'!$J$2:$J$37000,"3*",'Accounting data'!$K$2:$K$37000,"689*")+SUMIFS('Accounting data'!$G$2:$G$37000,'Accounting data'!$H$2:$H$37000,"13*",'Accounting data'!$I$2:$I$37000,"7*",'Accounting data'!$J$2:$J$37000,"3*",'Accounting data'!$K$2:$K$37000,"689*")</f>
        <v>0</v>
      </c>
    </row>
    <row r="1212" spans="1:5" x14ac:dyDescent="0.2">
      <c r="A1212" s="522" t="s">
        <v>1007</v>
      </c>
      <c r="B1212" s="524">
        <v>800</v>
      </c>
      <c r="C1212" s="522">
        <v>3000</v>
      </c>
      <c r="D1212" s="522">
        <v>6890</v>
      </c>
      <c r="E1212" s="523">
        <f>SUMIFS('Accounting data'!$G$2:$G$37000,'Accounting data'!$H$2:$H$37000,"11*",'Accounting data'!$I$2:$I$37000,"8*",'Accounting data'!$J$2:$J$37000,"3*",'Accounting data'!$K$2:$K$37000,"689*")+SUMIFS('Accounting data'!$G$2:$G$37000,'Accounting data'!$H$2:$H$37000,"12*",'Accounting data'!$I$2:$I$37000,"8*",'Accounting data'!$J$2:$J$37000,"3*",'Accounting data'!$K$2:$K$37000,"689*")+SUMIFS('Accounting data'!$G$2:$G$37000,'Accounting data'!$H$2:$H$37000,"13*",'Accounting data'!$I$2:$I$37000,"8*",'Accounting data'!$J$2:$J$37000,"3*",'Accounting data'!$K$2:$K$37000,"689*")</f>
        <v>0</v>
      </c>
    </row>
    <row r="1213" spans="1:5" x14ac:dyDescent="0.2">
      <c r="A1213" s="522" t="s">
        <v>1007</v>
      </c>
      <c r="B1213" s="524">
        <v>900</v>
      </c>
      <c r="C1213" s="522">
        <v>3000</v>
      </c>
      <c r="D1213" s="522">
        <v>6890</v>
      </c>
      <c r="E1213" s="523">
        <f>SUMIFS('Accounting data'!$G$2:$G$37000,'Accounting data'!$H$2:$H$37000,"11*",'Accounting data'!$I$2:$I$37000,"9*",'Accounting data'!$J$2:$J$37000,"3*",'Accounting data'!$K$2:$K$37000,"689*")+SUMIFS('Accounting data'!$G$2:$G$37000,'Accounting data'!$H$2:$H$37000,"12*",'Accounting data'!$I$2:$I$37000,"9*",'Accounting data'!$J$2:$J$37000,"3*",'Accounting data'!$K$2:$K$37000,"689*")+SUMIFS('Accounting data'!$G$2:$G$37000,'Accounting data'!$H$2:$H$37000,"13*",'Accounting data'!$I$2:$I$37000,"9*",'Accounting data'!$J$2:$J$37000,"3*",'Accounting data'!$K$2:$K$37000,"689*")</f>
        <v>0</v>
      </c>
    </row>
    <row r="1214" spans="1:5" x14ac:dyDescent="0.2">
      <c r="A1214" s="525" t="s">
        <v>1087</v>
      </c>
      <c r="B1214" s="525"/>
      <c r="C1214" s="525"/>
      <c r="D1214" s="525"/>
      <c r="E1214" s="527">
        <f>(E1202+E1203+E1204)-(E1205+E1206+E1207+E1208+E1209+E1210+E1211+E1212+E1213)</f>
        <v>0</v>
      </c>
    </row>
    <row r="1215" spans="1:5" x14ac:dyDescent="0.2">
      <c r="A1215" s="522" t="s">
        <v>991</v>
      </c>
      <c r="B1215" s="522" t="s">
        <v>993</v>
      </c>
      <c r="C1215" s="522">
        <v>1000</v>
      </c>
      <c r="D1215" s="522">
        <v>6000</v>
      </c>
      <c r="E1215" s="523">
        <f>SUMIFS('Accounting data'!$G$2:$G$37000,'Accounting data'!$I$2:$I$37000,"7*",'Accounting data'!$J$2:$J$37000,"1*",'Accounting data'!$K$2:$K$37000,"6*")+SUMIFS('Accounting data'!$G$2:$G$37000,'Accounting data'!$I$2:$I$37000,"8*",'Accounting data'!$J$2:$J$37000,"1*",'Accounting data'!$K$2:$K$37000,"6*")+SUMIFS('Accounting data'!$G$2:$G$37000,'Accounting data'!$I$2:$I$37000,"9*",'Accounting data'!$J$2:$J$37000,"1*",'Accounting data'!$K$2:$K$37000,"6*")</f>
        <v>0</v>
      </c>
    </row>
    <row r="1216" spans="1:5" x14ac:dyDescent="0.2">
      <c r="A1216" s="522" t="s">
        <v>991</v>
      </c>
      <c r="B1216" s="522" t="s">
        <v>993</v>
      </c>
      <c r="C1216" s="522">
        <v>1000</v>
      </c>
      <c r="D1216" s="522">
        <v>6900</v>
      </c>
      <c r="E1216" s="523">
        <f>SUMIFS('Accounting data'!$G$2:$G$37000,'Accounting data'!$I$2:$I$37000,"7*",'Accounting data'!$J$2:$J$37000,"1*",'Accounting data'!$K$2:$K$37000,"69*")+SUMIFS('Accounting data'!$G$2:$G$37000,'Accounting data'!$I$2:$I$37000,"8*",'Accounting data'!$J$2:$J$37000,"1*",'Accounting data'!$K$2:$K$37000,"69*")+SUMIFS('Accounting data'!$G$2:$G$37000,'Accounting data'!$I$2:$I$37000,"9*",'Accounting data'!$J$2:$J$37000,"1*",'Accounting data'!$K$2:$K$37000,"69*")</f>
        <v>0</v>
      </c>
    </row>
    <row r="1217" spans="1:5" x14ac:dyDescent="0.2">
      <c r="A1217" s="522" t="s">
        <v>991</v>
      </c>
      <c r="B1217" s="522" t="s">
        <v>993</v>
      </c>
      <c r="C1217" s="522">
        <v>1000</v>
      </c>
      <c r="D1217" s="531">
        <v>6700</v>
      </c>
      <c r="E1217" s="523">
        <f>SUMIFS('Accounting data'!$G$2:$G$37000,'Accounting data'!$I$2:$I$37000,"7*",'Accounting data'!$J$2:$J$37000,"1*",'Accounting data'!$K$2:$K$37000,"67*")+SUMIFS('Accounting data'!$G$2:$G$37000,'Accounting data'!$I$2:$I$37000,"8*",'Accounting data'!$J$2:$J$37000,"1*",'Accounting data'!$K$2:$K$37000,"67*")+SUMIFS('Accounting data'!$G$2:$G$37000,'Accounting data'!$I$2:$I$37000,"9*",'Accounting data'!$J$2:$J$37000,"1*",'Accounting data'!$K$2:$K$37000,"67*")</f>
        <v>0</v>
      </c>
    </row>
    <row r="1218" spans="1:5" x14ac:dyDescent="0.2">
      <c r="A1218" s="524" t="s">
        <v>992</v>
      </c>
      <c r="B1218" s="522" t="s">
        <v>993</v>
      </c>
      <c r="C1218" s="522">
        <v>1000</v>
      </c>
      <c r="D1218" s="522">
        <v>6000</v>
      </c>
      <c r="E1218" s="523">
        <f>SUMIFS('Accounting data'!$G$2:$G$37000,'Accounting data'!$H$2:$H$37000,"9999*",'Accounting data'!$I$2:$I$37000,"7*",'Accounting data'!$J$2:$J$37000,"1*",'Accounting data'!$K$2:$K$37000,"6*")+SUMIFS('Accounting data'!$G$2:$G$37000,'Accounting data'!$H$2:$H$37000,"9999*",'Accounting data'!$I$2:$I$37000,"8*",'Accounting data'!$J$2:$J$37000,"1*",'Accounting data'!$K$2:$K$37000,"6*")+SUMIFS('Accounting data'!$G$2:$G$37000,'Accounting data'!$H$2:$H$37000,"9999*",'Accounting data'!$I$2:$I$37000,"9*",'Accounting data'!$J$2:$J$37000,"1*",'Accounting data'!$K$2:$K$37000,"6*")</f>
        <v>0</v>
      </c>
    </row>
    <row r="1219" spans="1:5" x14ac:dyDescent="0.2">
      <c r="A1219" s="522"/>
      <c r="B1219" s="522"/>
      <c r="C1219" s="522"/>
      <c r="D1219" s="522"/>
      <c r="E1219" s="523"/>
    </row>
    <row r="1220" spans="1:5" x14ac:dyDescent="0.2">
      <c r="A1220" s="524" t="s">
        <v>992</v>
      </c>
      <c r="B1220" s="522" t="s">
        <v>993</v>
      </c>
      <c r="C1220" s="522">
        <v>1000</v>
      </c>
      <c r="D1220" s="522">
        <v>6900</v>
      </c>
      <c r="E1220" s="523">
        <f>SUMIFS('Accounting data'!$G$2:$G$37000,'Accounting data'!$H$2:$H$37000,"9999*",'Accounting data'!$I$2:$I$37000,"7*",'Accounting data'!$J$2:$J$37000,"1*",'Accounting data'!$K$2:$K$37000,"69*")+SUMIFS('Accounting data'!$G$2:$G$37000,'Accounting data'!$H$2:$H$37000,"9999*",'Accounting data'!$I$2:$I$37000,"8*",'Accounting data'!$J$2:$J$37000,"1*",'Accounting data'!$K$2:$K$37000,"69*")+SUMIFS('Accounting data'!$G$2:$G$37000,'Accounting data'!$H$2:$H$37000,"9999*",'Accounting data'!$I$2:$I$37000,"9*",'Accounting data'!$J$2:$J$37000,"1*",'Accounting data'!$K$2:$K$37000,"69*")</f>
        <v>0</v>
      </c>
    </row>
    <row r="1221" spans="1:5" x14ac:dyDescent="0.2">
      <c r="A1221" s="522"/>
      <c r="B1221" s="522"/>
      <c r="C1221" s="522"/>
      <c r="D1221" s="522"/>
      <c r="E1221" s="523"/>
    </row>
    <row r="1222" spans="1:5" x14ac:dyDescent="0.2">
      <c r="A1222" s="524" t="s">
        <v>992</v>
      </c>
      <c r="B1222" s="522" t="s">
        <v>993</v>
      </c>
      <c r="C1222" s="522">
        <v>1000</v>
      </c>
      <c r="D1222" s="531">
        <v>6700</v>
      </c>
      <c r="E1222" s="523">
        <f>SUMIFS('Accounting data'!$G$2:$G$37000,'Accounting data'!$H$2:$H$37000,"9999*",'Accounting data'!$I$2:$I$37000,"7*",'Accounting data'!$J$2:$J$37000,"1*",'Accounting data'!$K$2:$K$37000,"67*")+SUMIFS('Accounting data'!$G$2:$G$37000,'Accounting data'!$H$2:$H$37000,"9999*",'Accounting data'!$I$2:$I$37000,"8*",'Accounting data'!$J$2:$J$37000,"1*",'Accounting data'!$K$2:$K$37000,"67*")+SUMIFS('Accounting data'!$G$2:$G$37000,'Accounting data'!$H$2:$H$37000,"9999*",'Accounting data'!$I$2:$I$37000,"9*",'Accounting data'!$J$2:$J$37000,"1*",'Accounting data'!$K$2:$K$37000,"67*")</f>
        <v>0</v>
      </c>
    </row>
    <row r="1223" spans="1:5" x14ac:dyDescent="0.2">
      <c r="A1223" s="524"/>
      <c r="B1223" s="522"/>
      <c r="C1223" s="522"/>
      <c r="D1223" s="531"/>
      <c r="E1223" s="523"/>
    </row>
    <row r="1224" spans="1:5" x14ac:dyDescent="0.2">
      <c r="A1224" s="524"/>
      <c r="B1224" s="522"/>
      <c r="C1224" s="522"/>
      <c r="D1224" s="531"/>
      <c r="E1224" s="523"/>
    </row>
    <row r="1225" spans="1:5" x14ac:dyDescent="0.2">
      <c r="A1225" s="525" t="s">
        <v>1088</v>
      </c>
      <c r="B1225" s="525"/>
      <c r="C1225" s="525"/>
      <c r="D1225" s="525"/>
      <c r="E1225" s="527">
        <f>(E1215-E1216-E1217)-((E1218+E1219)-(E1220+E1221))-(E1222+E1223+E1224)</f>
        <v>0</v>
      </c>
    </row>
    <row r="1226" spans="1:5" x14ac:dyDescent="0.2">
      <c r="A1226" s="522" t="s">
        <v>991</v>
      </c>
      <c r="B1226" s="522" t="s">
        <v>993</v>
      </c>
      <c r="C1226" s="522">
        <v>2100</v>
      </c>
      <c r="D1226" s="522">
        <v>6000</v>
      </c>
      <c r="E1226" s="523">
        <f>SUMIFS('Accounting data'!$G$2:$G$37000,'Accounting data'!$I$2:$I$37000,"7*",'Accounting data'!$J$2:$J$37000,"21*",'Accounting data'!$K$2:$K$37000,"6*")+SUMIFS('Accounting data'!$G$2:$G$37000,'Accounting data'!$I$2:$I$37000,"8*",'Accounting data'!$J$2:$J$37000,"21*",'Accounting data'!$K$2:$K$37000,"6*")+SUMIFS('Accounting data'!$G$2:$G$37000,'Accounting data'!$I$2:$I$37000,"9*",'Accounting data'!$J$2:$J$37000,"21*",'Accounting data'!$K$2:$K$37000,"6*")</f>
        <v>0</v>
      </c>
    </row>
    <row r="1227" spans="1:5" x14ac:dyDescent="0.2">
      <c r="A1227" s="522" t="s">
        <v>991</v>
      </c>
      <c r="B1227" s="522" t="s">
        <v>993</v>
      </c>
      <c r="C1227" s="522">
        <v>2100</v>
      </c>
      <c r="D1227" s="522">
        <v>6900</v>
      </c>
      <c r="E1227" s="523">
        <f>SUMIFS('Accounting data'!$G$2:$G$37000,'Accounting data'!$I$2:$I$37000,"7*",'Accounting data'!$J$2:$J$37000,"21*",'Accounting data'!$K$2:$K$37000,"69*")+SUMIFS('Accounting data'!$G$2:$G$37000,'Accounting data'!$I$2:$I$37000,"8*",'Accounting data'!$J$2:$J$37000,"21*",'Accounting data'!$K$2:$K$37000,"69*")+SUMIFS('Accounting data'!$G$2:$G$37000,'Accounting data'!$I$2:$I$37000,"9*",'Accounting data'!$J$2:$J$37000,"21*",'Accounting data'!$K$2:$K$37000,"69*")</f>
        <v>0</v>
      </c>
    </row>
    <row r="1228" spans="1:5" x14ac:dyDescent="0.2">
      <c r="A1228" s="522" t="s">
        <v>991</v>
      </c>
      <c r="B1228" s="522" t="s">
        <v>993</v>
      </c>
      <c r="C1228" s="522">
        <v>2100</v>
      </c>
      <c r="D1228" s="531">
        <v>6700</v>
      </c>
      <c r="E1228" s="523">
        <f>SUMIFS('Accounting data'!$G$2:$G$37000,'Accounting data'!$I$2:$I$37000,"7*",'Accounting data'!$J$2:$J$37000,"21*",'Accounting data'!$K$2:$K$37000,"67*")+SUMIFS('Accounting data'!$G$2:$G$37000,'Accounting data'!$I$2:$I$37000,"8*",'Accounting data'!$J$2:$J$37000,"21*",'Accounting data'!$K$2:$K$37000,"67*")+SUMIFS('Accounting data'!$G$2:$G$37000,'Accounting data'!$I$2:$I$37000,"9*",'Accounting data'!$J$2:$J$37000,"21*",'Accounting data'!$K$2:$K$37000,"67*")</f>
        <v>0</v>
      </c>
    </row>
    <row r="1229" spans="1:5" x14ac:dyDescent="0.2">
      <c r="A1229" s="524" t="s">
        <v>992</v>
      </c>
      <c r="B1229" s="522" t="s">
        <v>993</v>
      </c>
      <c r="C1229" s="522">
        <v>2100</v>
      </c>
      <c r="D1229" s="522">
        <v>6000</v>
      </c>
      <c r="E1229" s="523">
        <f>SUMIFS('Accounting data'!$G$2:$G$37000,'Accounting data'!$H$2:$H$37000,"9999*",'Accounting data'!$I$2:$I$37000,"7*",'Accounting data'!$J$2:$J$37000,"21*",'Accounting data'!$K$2:$K$37000,"6*")+SUMIFS('Accounting data'!$G$2:$G$37000,'Accounting data'!$H$2:$H$37000,"9999*",'Accounting data'!$I$2:$I$37000,"8*",'Accounting data'!$J$2:$J$37000,"21*",'Accounting data'!$K$2:$K$37000,"6*")+SUMIFS('Accounting data'!$G$2:$G$37000,'Accounting data'!$H$2:$H$37000,"9999*",'Accounting data'!$I$2:$I$37000,"9*",'Accounting data'!$J$2:$J$37000,"21*",'Accounting data'!$K$2:$K$37000,"6*")</f>
        <v>0</v>
      </c>
    </row>
    <row r="1230" spans="1:5" x14ac:dyDescent="0.2">
      <c r="A1230" s="522"/>
      <c r="B1230" s="522"/>
      <c r="C1230" s="522"/>
      <c r="D1230" s="522"/>
      <c r="E1230" s="523"/>
    </row>
    <row r="1231" spans="1:5" x14ac:dyDescent="0.2">
      <c r="A1231" s="524" t="s">
        <v>992</v>
      </c>
      <c r="B1231" s="522" t="s">
        <v>993</v>
      </c>
      <c r="C1231" s="522">
        <v>2100</v>
      </c>
      <c r="D1231" s="522">
        <v>6900</v>
      </c>
      <c r="E1231" s="523">
        <f>SUMIFS('Accounting data'!$G$2:$G$37000,'Accounting data'!$H$2:$H$37000,"9999*",'Accounting data'!$I$2:$I$37000,"7*",'Accounting data'!$J$2:$J$37000,"21*",'Accounting data'!$K$2:$K$37000,"69*")+SUMIFS('Accounting data'!$G$2:$G$37000,'Accounting data'!$H$2:$H$37000,"9999*",'Accounting data'!$I$2:$I$37000,"8*",'Accounting data'!$J$2:$J$37000,"21*",'Accounting data'!$K$2:$K$37000,"69*")+SUMIFS('Accounting data'!$G$2:$G$37000,'Accounting data'!$H$2:$H$37000,"9999*",'Accounting data'!$I$2:$I$37000,"9*",'Accounting data'!$J$2:$J$37000,"21*",'Accounting data'!$K$2:$K$37000,"69*")</f>
        <v>0</v>
      </c>
    </row>
    <row r="1233" spans="1:5" x14ac:dyDescent="0.2">
      <c r="A1233" s="524" t="s">
        <v>992</v>
      </c>
      <c r="B1233" s="522" t="s">
        <v>993</v>
      </c>
      <c r="C1233" s="522">
        <v>2100</v>
      </c>
      <c r="D1233" s="531">
        <v>6700</v>
      </c>
      <c r="E1233" s="523">
        <f>SUMIFS('Accounting data'!$G$2:$G$37000,'Accounting data'!$H$2:$H$37000,"9999*",'Accounting data'!$I$2:$I$37000,"7*",'Accounting data'!$J$2:$J$37000,"21*",'Accounting data'!$K$2:$K$37000,"67*")+SUMIFS('Accounting data'!$G$2:$G$37000,'Accounting data'!$H$2:$H$37000,"9999*",'Accounting data'!$I$2:$I$37000,"8*",'Accounting data'!$J$2:$J$37000,"21*",'Accounting data'!$K$2:$K$37000,"67*")+SUMIFS('Accounting data'!$G$2:$G$37000,'Accounting data'!$H$2:$H$37000,"9999*",'Accounting data'!$I$2:$I$37000,"9*",'Accounting data'!$J$2:$J$37000,"21*",'Accounting data'!$K$2:$K$37000,"67*")</f>
        <v>0</v>
      </c>
    </row>
    <row r="1234" spans="1:5" x14ac:dyDescent="0.2">
      <c r="A1234" s="524"/>
      <c r="B1234" s="522"/>
      <c r="C1234" s="522"/>
      <c r="D1234" s="531"/>
      <c r="E1234" s="523"/>
    </row>
    <row r="1235" spans="1:5" x14ac:dyDescent="0.2">
      <c r="A1235" s="524"/>
      <c r="B1235" s="522"/>
      <c r="C1235" s="522"/>
      <c r="D1235" s="531"/>
      <c r="E1235" s="523"/>
    </row>
    <row r="1236" spans="1:5" x14ac:dyDescent="0.2">
      <c r="A1236" s="525" t="s">
        <v>1089</v>
      </c>
      <c r="B1236" s="525"/>
      <c r="C1236" s="525"/>
      <c r="D1236" s="525"/>
      <c r="E1236" s="527">
        <f>(E1226-E1227-E1228)-((E1229+E1230)-(E1231+E1232))-(E1233+E1234+E1235)</f>
        <v>0</v>
      </c>
    </row>
    <row r="1237" spans="1:5" x14ac:dyDescent="0.2">
      <c r="A1237" s="522" t="s">
        <v>991</v>
      </c>
      <c r="B1237" s="522" t="s">
        <v>993</v>
      </c>
      <c r="C1237" s="522">
        <v>2200</v>
      </c>
      <c r="D1237" s="522">
        <v>6000</v>
      </c>
      <c r="E1237" s="523">
        <f>SUMIFS('Accounting data'!$G$2:$G$37000,'Accounting data'!$I$2:$I$37000,"7*",'Accounting data'!$J$2:$J$37000,"22*",'Accounting data'!$K$2:$K$37000,"6*")+SUMIFS('Accounting data'!$G$2:$G$37000,'Accounting data'!$I$2:$I$37000,"8*",'Accounting data'!$J$2:$J$37000,"22*",'Accounting data'!$K$2:$K$37000,"6*")+SUMIFS('Accounting data'!$G$2:$G$37000,'Accounting data'!$I$2:$I$37000,"9*",'Accounting data'!$J$2:$J$37000,"22*",'Accounting data'!$K$2:$K$37000,"6*")</f>
        <v>0</v>
      </c>
    </row>
    <row r="1238" spans="1:5" x14ac:dyDescent="0.2">
      <c r="A1238" s="522" t="s">
        <v>991</v>
      </c>
      <c r="B1238" s="522" t="s">
        <v>993</v>
      </c>
      <c r="C1238" s="522">
        <v>2200</v>
      </c>
      <c r="D1238" s="522">
        <v>6900</v>
      </c>
      <c r="E1238" s="523">
        <f>SUMIFS('Accounting data'!$G$2:$G$37000,'Accounting data'!$I$2:$I$37000,"7*",'Accounting data'!$J$2:$J$37000,"22*",'Accounting data'!$K$2:$K$37000,"69*")+SUMIFS('Accounting data'!$G$2:$G$37000,'Accounting data'!$I$2:$I$37000,"8*",'Accounting data'!$J$2:$J$37000,"22*",'Accounting data'!$K$2:$K$37000,"69*")+SUMIFS('Accounting data'!$G$2:$G$37000,'Accounting data'!$I$2:$I$37000,"9*",'Accounting data'!$J$2:$J$37000,"22*",'Accounting data'!$K$2:$K$37000,"69*")</f>
        <v>0</v>
      </c>
    </row>
    <row r="1239" spans="1:5" x14ac:dyDescent="0.2">
      <c r="A1239" s="522" t="s">
        <v>991</v>
      </c>
      <c r="B1239" s="522" t="s">
        <v>993</v>
      </c>
      <c r="C1239" s="522">
        <v>2200</v>
      </c>
      <c r="D1239" s="531">
        <v>6700</v>
      </c>
      <c r="E1239" s="523">
        <f>SUMIFS('Accounting data'!$G$2:$G$37000,'Accounting data'!$I$2:$I$37000,"7*",'Accounting data'!$J$2:$J$37000,"22*",'Accounting data'!$K$2:$K$37000,"67*")+SUMIFS('Accounting data'!$G$2:$G$37000,'Accounting data'!$I$2:$I$37000,"8*",'Accounting data'!$J$2:$J$37000,"22*",'Accounting data'!$K$2:$K$37000,"67*")+SUMIFS('Accounting data'!$G$2:$G$37000,'Accounting data'!$I$2:$I$37000,"9*",'Accounting data'!$J$2:$J$37000,"22*",'Accounting data'!$K$2:$K$37000,"67*")</f>
        <v>0</v>
      </c>
    </row>
    <row r="1240" spans="1:5" x14ac:dyDescent="0.2">
      <c r="A1240" s="524" t="s">
        <v>992</v>
      </c>
      <c r="B1240" s="522" t="s">
        <v>993</v>
      </c>
      <c r="C1240" s="522">
        <v>2200</v>
      </c>
      <c r="D1240" s="522">
        <v>6000</v>
      </c>
      <c r="E1240" s="523">
        <f>SUMIFS('Accounting data'!$G$2:$G$37000,'Accounting data'!$H$2:$H$37000,"9999*",'Accounting data'!$I$2:$I$37000,"7*",'Accounting data'!$J$2:$J$37000,"22*",'Accounting data'!$K$2:$K$37000,"6*")+SUMIFS('Accounting data'!$G$2:$G$37000,'Accounting data'!$H$2:$H$37000,"9999*",'Accounting data'!$I$2:$I$37000,"8*",'Accounting data'!$J$2:$J$37000,"22*",'Accounting data'!$K$2:$K$37000,"6*")+SUMIFS('Accounting data'!$G$2:$G$37000,'Accounting data'!$H$2:$H$37000,"9999*",'Accounting data'!$I$2:$I$37000,"9*",'Accounting data'!$J$2:$J$37000,"22*",'Accounting data'!$K$2:$K$37000,"6*")</f>
        <v>0</v>
      </c>
    </row>
    <row r="1241" spans="1:5" x14ac:dyDescent="0.2">
      <c r="A1241" s="522"/>
      <c r="B1241" s="522"/>
      <c r="C1241" s="522"/>
      <c r="D1241" s="522"/>
      <c r="E1241" s="523"/>
    </row>
    <row r="1242" spans="1:5" x14ac:dyDescent="0.2">
      <c r="A1242" s="524" t="s">
        <v>992</v>
      </c>
      <c r="B1242" s="522" t="s">
        <v>993</v>
      </c>
      <c r="C1242" s="522">
        <v>2200</v>
      </c>
      <c r="D1242" s="522">
        <v>6900</v>
      </c>
      <c r="E1242" s="523">
        <f>SUMIFS('Accounting data'!$G$2:$G$37000,'Accounting data'!$H$2:$H$37000,"9999*",'Accounting data'!$I$2:$I$37000,"7*",'Accounting data'!$J$2:$J$37000,"22*",'Accounting data'!$K$2:$K$37000,"69*")+SUMIFS('Accounting data'!$G$2:$G$37000,'Accounting data'!$H$2:$H$37000,"9999*",'Accounting data'!$I$2:$I$37000,"8*",'Accounting data'!$J$2:$J$37000,"22*",'Accounting data'!$K$2:$K$37000,"69*")+SUMIFS('Accounting data'!$G$2:$G$37000,'Accounting data'!$H$2:$H$37000,"9999*",'Accounting data'!$I$2:$I$37000,"9*",'Accounting data'!$J$2:$J$37000,"22*",'Accounting data'!$K$2:$K$37000,"69*")</f>
        <v>0</v>
      </c>
    </row>
    <row r="1243" spans="1:5" x14ac:dyDescent="0.2">
      <c r="A1243" s="522"/>
      <c r="B1243" s="522"/>
      <c r="C1243" s="522"/>
      <c r="D1243" s="522"/>
      <c r="E1243" s="523"/>
    </row>
    <row r="1244" spans="1:5" x14ac:dyDescent="0.2">
      <c r="A1244" s="524" t="s">
        <v>992</v>
      </c>
      <c r="B1244" s="522" t="s">
        <v>993</v>
      </c>
      <c r="C1244" s="522">
        <v>2200</v>
      </c>
      <c r="D1244" s="531">
        <v>6700</v>
      </c>
      <c r="E1244" s="523">
        <f>SUMIFS('Accounting data'!$G$2:$G$37000,'Accounting data'!$H$2:$H$37000,"9999*",'Accounting data'!$I$2:$I$37000,"7*",'Accounting data'!$J$2:$J$37000,"22*",'Accounting data'!$K$2:$K$37000,"67*")+SUMIFS('Accounting data'!$G$2:$G$37000,'Accounting data'!$H$2:$H$37000,"9999*",'Accounting data'!$I$2:$I$37000,"8*",'Accounting data'!$J$2:$J$37000,"22*",'Accounting data'!$K$2:$K$37000,"67*")+SUMIFS('Accounting data'!$G$2:$G$37000,'Accounting data'!$H$2:$H$37000,"9999*",'Accounting data'!$I$2:$I$37000,"9*",'Accounting data'!$J$2:$J$37000,"22*",'Accounting data'!$K$2:$K$37000,"67*")</f>
        <v>0</v>
      </c>
    </row>
    <row r="1245" spans="1:5" x14ac:dyDescent="0.2">
      <c r="A1245" s="524"/>
      <c r="B1245" s="522"/>
      <c r="C1245" s="522"/>
      <c r="D1245" s="531"/>
      <c r="E1245" s="523"/>
    </row>
    <row r="1246" spans="1:5" x14ac:dyDescent="0.2">
      <c r="A1246" s="524"/>
      <c r="B1246" s="522"/>
      <c r="C1246" s="522"/>
      <c r="D1246" s="531"/>
      <c r="E1246" s="523"/>
    </row>
    <row r="1247" spans="1:5" x14ac:dyDescent="0.2">
      <c r="A1247" s="525" t="s">
        <v>1090</v>
      </c>
      <c r="B1247" s="525"/>
      <c r="C1247" s="525"/>
      <c r="D1247" s="525"/>
      <c r="E1247" s="527">
        <f>(E1237-E1238-E1239)-((E1240+E1241)-(E1242+E1243))-(E1244+E1245+E1246)</f>
        <v>0</v>
      </c>
    </row>
    <row r="1248" spans="1:5" x14ac:dyDescent="0.2">
      <c r="A1248" s="522" t="s">
        <v>991</v>
      </c>
      <c r="B1248" s="522" t="s">
        <v>993</v>
      </c>
      <c r="C1248" s="522">
        <v>2300</v>
      </c>
      <c r="D1248" s="522">
        <v>6000</v>
      </c>
      <c r="E1248" s="523">
        <f>SUMIFS('Accounting data'!$G$2:$G$37000,'Accounting data'!$I$2:$I$37000,"7*",'Accounting data'!$J$2:$J$37000,"23*",'Accounting data'!$K$2:$K$37000,"6*")+SUMIFS('Accounting data'!$G$2:$G$37000,'Accounting data'!$I$2:$I$37000,"8*",'Accounting data'!$J$2:$J$37000,"23*",'Accounting data'!$K$2:$K$37000,"6*")+SUMIFS('Accounting data'!$G$2:$G$37000,'Accounting data'!$I$2:$I$37000,"9*",'Accounting data'!$J$2:$J$37000,"23*",'Accounting data'!$K$2:$K$37000,"6*")</f>
        <v>0</v>
      </c>
    </row>
    <row r="1249" spans="1:5" x14ac:dyDescent="0.2">
      <c r="A1249" s="522" t="s">
        <v>991</v>
      </c>
      <c r="B1249" s="522" t="s">
        <v>993</v>
      </c>
      <c r="C1249" s="522">
        <v>2300</v>
      </c>
      <c r="D1249" s="522">
        <v>6900</v>
      </c>
      <c r="E1249" s="523">
        <f>SUMIFS('Accounting data'!$G$2:$G$37000,'Accounting data'!$I$2:$I$37000,"7*",'Accounting data'!$J$2:$J$37000,"23*",'Accounting data'!$K$2:$K$37000,"69*")+SUMIFS('Accounting data'!$G$2:$G$37000,'Accounting data'!$I$2:$I$37000,"8*",'Accounting data'!$J$2:$J$37000,"23*",'Accounting data'!$K$2:$K$37000,"69*")+SUMIFS('Accounting data'!$G$2:$G$37000,'Accounting data'!$I$2:$I$37000,"9*",'Accounting data'!$J$2:$J$37000,"23*",'Accounting data'!$K$2:$K$37000,"69*")</f>
        <v>0</v>
      </c>
    </row>
    <row r="1250" spans="1:5" x14ac:dyDescent="0.2">
      <c r="A1250" s="522" t="s">
        <v>991</v>
      </c>
      <c r="B1250" s="522" t="s">
        <v>993</v>
      </c>
      <c r="C1250" s="522">
        <v>2300</v>
      </c>
      <c r="D1250" s="531">
        <v>6700</v>
      </c>
      <c r="E1250" s="523">
        <f>SUMIFS('Accounting data'!$G$2:$G$37000,'Accounting data'!$I$2:$I$37000,"7*",'Accounting data'!$J$2:$J$37000,"23*",'Accounting data'!$K$2:$K$37000,"67*")+SUMIFS('Accounting data'!$G$2:$G$37000,'Accounting data'!$I$2:$I$37000,"8*",'Accounting data'!$J$2:$J$37000,"23*",'Accounting data'!$K$2:$K$37000,"67*")+SUMIFS('Accounting data'!$G$2:$G$37000,'Accounting data'!$I$2:$I$37000,"9*",'Accounting data'!$J$2:$J$37000,"23*",'Accounting data'!$K$2:$K$37000,"67*")</f>
        <v>0</v>
      </c>
    </row>
    <row r="1251" spans="1:5" x14ac:dyDescent="0.2">
      <c r="A1251" s="524" t="s">
        <v>992</v>
      </c>
      <c r="B1251" s="522" t="s">
        <v>993</v>
      </c>
      <c r="C1251" s="522">
        <v>2300</v>
      </c>
      <c r="D1251" s="522">
        <v>6000</v>
      </c>
      <c r="E1251" s="523">
        <f>SUMIFS('Accounting data'!$G$2:$G$37000,'Accounting data'!$H$2:$H$37000,"9999*",'Accounting data'!$I$2:$I$37000,"7*",'Accounting data'!$J$2:$J$37000,"23*",'Accounting data'!$K$2:$K$37000,"6*")+SUMIFS('Accounting data'!$G$2:$G$37000,'Accounting data'!$H$2:$H$37000,"9999*",'Accounting data'!$I$2:$I$37000,"8*",'Accounting data'!$J$2:$J$37000,"23*",'Accounting data'!$K$2:$K$37000,"6*")+SUMIFS('Accounting data'!$G$2:$G$37000,'Accounting data'!$H$2:$H$37000,"9999*",'Accounting data'!$I$2:$I$37000,"9*",'Accounting data'!$J$2:$J$37000,"23*",'Accounting data'!$K$2:$K$37000,"6*")</f>
        <v>0</v>
      </c>
    </row>
    <row r="1252" spans="1:5" x14ac:dyDescent="0.2">
      <c r="A1252" s="522"/>
      <c r="B1252" s="522"/>
      <c r="C1252" s="522"/>
      <c r="D1252" s="522"/>
      <c r="E1252" s="523"/>
    </row>
    <row r="1253" spans="1:5" x14ac:dyDescent="0.2">
      <c r="A1253" s="524" t="s">
        <v>992</v>
      </c>
      <c r="B1253" s="522" t="s">
        <v>993</v>
      </c>
      <c r="C1253" s="522">
        <v>2300</v>
      </c>
      <c r="D1253" s="522">
        <v>6900</v>
      </c>
      <c r="E1253" s="523">
        <f>SUMIFS('Accounting data'!$G$2:$G$37000,'Accounting data'!$H$2:$H$37000,"9999*",'Accounting data'!$I$2:$I$37000,"7*",'Accounting data'!$J$2:$J$37000,"23*",'Accounting data'!$K$2:$K$37000,"69*")+SUMIFS('Accounting data'!$G$2:$G$37000,'Accounting data'!$H$2:$H$37000,"9999*",'Accounting data'!$I$2:$I$37000,"8*",'Accounting data'!$J$2:$J$37000,"23*",'Accounting data'!$K$2:$K$37000,"69*")+SUMIFS('Accounting data'!$G$2:$G$37000,'Accounting data'!$H$2:$H$37000,"9999*",'Accounting data'!$I$2:$I$37000,"9*",'Accounting data'!$J$2:$J$37000,"23*",'Accounting data'!$K$2:$K$37000,"69*")</f>
        <v>0</v>
      </c>
    </row>
    <row r="1254" spans="1:5" x14ac:dyDescent="0.2">
      <c r="A1254" s="522"/>
      <c r="B1254" s="522"/>
      <c r="C1254" s="522"/>
      <c r="D1254" s="522"/>
      <c r="E1254" s="523"/>
    </row>
    <row r="1255" spans="1:5" x14ac:dyDescent="0.2">
      <c r="A1255" s="524" t="s">
        <v>992</v>
      </c>
      <c r="B1255" s="522" t="s">
        <v>993</v>
      </c>
      <c r="C1255" s="522">
        <v>2300</v>
      </c>
      <c r="D1255" s="531">
        <v>6700</v>
      </c>
      <c r="E1255" s="523">
        <f>SUMIFS('Accounting data'!$G$2:$G$37000,'Accounting data'!$H$2:$H$37000,"9999*",'Accounting data'!$I$2:$I$37000,"7*",'Accounting data'!$J$2:$J$37000,"23*",'Accounting data'!$K$2:$K$37000,"67*")+SUMIFS('Accounting data'!$G$2:$G$37000,'Accounting data'!$H$2:$H$37000,"9999*",'Accounting data'!$I$2:$I$37000,"8*",'Accounting data'!$J$2:$J$37000,"23*",'Accounting data'!$K$2:$K$37000,"67*")+SUMIFS('Accounting data'!$G$2:$G$37000,'Accounting data'!$H$2:$H$37000,"9999*",'Accounting data'!$I$2:$I$37000,"9*",'Accounting data'!$J$2:$J$37000,"23*",'Accounting data'!$K$2:$K$37000,"67*")</f>
        <v>0</v>
      </c>
    </row>
    <row r="1256" spans="1:5" x14ac:dyDescent="0.2">
      <c r="A1256" s="524"/>
      <c r="B1256" s="522"/>
      <c r="C1256" s="522"/>
      <c r="D1256" s="531"/>
      <c r="E1256" s="523"/>
    </row>
    <row r="1257" spans="1:5" x14ac:dyDescent="0.2">
      <c r="A1257" s="524"/>
      <c r="B1257" s="522"/>
      <c r="C1257" s="522"/>
      <c r="D1257" s="531"/>
      <c r="E1257" s="523"/>
    </row>
    <row r="1258" spans="1:5" x14ac:dyDescent="0.2">
      <c r="A1258" s="525" t="s">
        <v>1091</v>
      </c>
      <c r="B1258" s="525"/>
      <c r="C1258" s="525"/>
      <c r="D1258" s="525"/>
      <c r="E1258" s="527">
        <f>(E1248-E1249-E1250)-((E1251+E1252)-(E1253+E1254))-(E1255+E1256+E1257)</f>
        <v>0</v>
      </c>
    </row>
    <row r="1259" spans="1:5" x14ac:dyDescent="0.2">
      <c r="A1259" s="522" t="s">
        <v>991</v>
      </c>
      <c r="B1259" s="522" t="s">
        <v>993</v>
      </c>
      <c r="C1259" s="522">
        <v>2400</v>
      </c>
      <c r="D1259" s="522">
        <v>6000</v>
      </c>
      <c r="E1259" s="523">
        <f>SUMIFS('Accounting data'!$G$2:$G$37000,'Accounting data'!$I$2:$I$37000,"7*",'Accounting data'!$J$2:$J$37000,"24*",'Accounting data'!$K$2:$K$37000,"6*")+SUMIFS('Accounting data'!$G$2:$G$37000,'Accounting data'!$I$2:$I$37000,"8*",'Accounting data'!$J$2:$J$37000,"24*",'Accounting data'!$K$2:$K$37000,"6*")+SUMIFS('Accounting data'!$G$2:$G$37000,'Accounting data'!$I$2:$I$37000,"9*",'Accounting data'!$J$2:$J$37000,"24*",'Accounting data'!$K$2:$K$37000,"6*")</f>
        <v>0</v>
      </c>
    </row>
    <row r="1260" spans="1:5" x14ac:dyDescent="0.2">
      <c r="A1260" s="522" t="s">
        <v>991</v>
      </c>
      <c r="B1260" s="522" t="s">
        <v>993</v>
      </c>
      <c r="C1260" s="522">
        <v>2400</v>
      </c>
      <c r="D1260" s="522">
        <v>6900</v>
      </c>
      <c r="E1260" s="523">
        <f>SUMIFS('Accounting data'!$G$2:$G$37000,'Accounting data'!$I$2:$I$37000,"7*",'Accounting data'!$J$2:$J$37000,"24*",'Accounting data'!$K$2:$K$37000,"69*")+SUMIFS('Accounting data'!$G$2:$G$37000,'Accounting data'!$I$2:$I$37000,"8*",'Accounting data'!$J$2:$J$37000,"24*",'Accounting data'!$K$2:$K$37000,"69*")+SUMIFS('Accounting data'!$G$2:$G$37000,'Accounting data'!$I$2:$I$37000,"9*",'Accounting data'!$J$2:$J$37000,"24*",'Accounting data'!$K$2:$K$37000,"69*")</f>
        <v>0</v>
      </c>
    </row>
    <row r="1261" spans="1:5" x14ac:dyDescent="0.2">
      <c r="A1261" s="522" t="s">
        <v>991</v>
      </c>
      <c r="B1261" s="522" t="s">
        <v>993</v>
      </c>
      <c r="C1261" s="522">
        <v>2400</v>
      </c>
      <c r="D1261" s="531">
        <v>6700</v>
      </c>
      <c r="E1261" s="523">
        <f>SUMIFS('Accounting data'!$G$2:$G$37000,'Accounting data'!$I$2:$I$37000,"7*",'Accounting data'!$J$2:$J$37000,"24*",'Accounting data'!$K$2:$K$37000,"67*")+SUMIFS('Accounting data'!$G$2:$G$37000,'Accounting data'!$I$2:$I$37000,"8*",'Accounting data'!$J$2:$J$37000,"24*",'Accounting data'!$K$2:$K$37000,"67*")+SUMIFS('Accounting data'!$G$2:$G$37000,'Accounting data'!$I$2:$I$37000,"9*",'Accounting data'!$J$2:$J$37000,"24*",'Accounting data'!$K$2:$K$37000,"67*")</f>
        <v>0</v>
      </c>
    </row>
    <row r="1262" spans="1:5" x14ac:dyDescent="0.2">
      <c r="A1262" s="524" t="s">
        <v>992</v>
      </c>
      <c r="B1262" s="522" t="s">
        <v>993</v>
      </c>
      <c r="C1262" s="522">
        <v>2400</v>
      </c>
      <c r="D1262" s="522">
        <v>6000</v>
      </c>
      <c r="E1262" s="523">
        <f>SUMIFS('Accounting data'!$G$2:$G$37000,'Accounting data'!$H$2:$H$37000,"9999*",'Accounting data'!$I$2:$I$37000,"7*",'Accounting data'!$J$2:$J$37000,"24*",'Accounting data'!$K$2:$K$37000,"6*")+SUMIFS('Accounting data'!$G$2:$G$37000,'Accounting data'!$H$2:$H$37000,"9999*",'Accounting data'!$I$2:$I$37000,"8*",'Accounting data'!$J$2:$J$37000,"24*",'Accounting data'!$K$2:$K$37000,"6*")+SUMIFS('Accounting data'!$G$2:$G$37000,'Accounting data'!$H$2:$H$37000,"9999*",'Accounting data'!$I$2:$I$37000,"9*",'Accounting data'!$J$2:$J$37000,"24*",'Accounting data'!$K$2:$K$37000,"6*")</f>
        <v>0</v>
      </c>
    </row>
    <row r="1263" spans="1:5" x14ac:dyDescent="0.2">
      <c r="A1263" s="522"/>
      <c r="B1263" s="522"/>
      <c r="C1263" s="522"/>
      <c r="D1263" s="522"/>
      <c r="E1263" s="523"/>
    </row>
    <row r="1264" spans="1:5" x14ac:dyDescent="0.2">
      <c r="A1264" s="524" t="s">
        <v>992</v>
      </c>
      <c r="B1264" s="522" t="s">
        <v>993</v>
      </c>
      <c r="C1264" s="522">
        <v>2400</v>
      </c>
      <c r="D1264" s="522">
        <v>6900</v>
      </c>
      <c r="E1264" s="523">
        <f>SUMIFS('Accounting data'!$G$2:$G$37000,'Accounting data'!$H$2:$H$37000,"9999*",'Accounting data'!$I$2:$I$37000,"7*",'Accounting data'!$J$2:$J$37000,"24*",'Accounting data'!$K$2:$K$37000,"69*")+SUMIFS('Accounting data'!$G$2:$G$37000,'Accounting data'!$H$2:$H$37000,"9999*",'Accounting data'!$I$2:$I$37000,"8*",'Accounting data'!$J$2:$J$37000,"24*",'Accounting data'!$K$2:$K$37000,"69*")+SUMIFS('Accounting data'!$G$2:$G$37000,'Accounting data'!$H$2:$H$37000,"9999*",'Accounting data'!$I$2:$I$37000,"9*",'Accounting data'!$J$2:$J$37000,"24*",'Accounting data'!$K$2:$K$37000,"69*")</f>
        <v>0</v>
      </c>
    </row>
    <row r="1266" spans="1:5" x14ac:dyDescent="0.2">
      <c r="A1266" s="524" t="s">
        <v>992</v>
      </c>
      <c r="B1266" s="522" t="s">
        <v>993</v>
      </c>
      <c r="C1266" s="522">
        <v>2400</v>
      </c>
      <c r="D1266" s="531">
        <v>6700</v>
      </c>
      <c r="E1266" s="523">
        <f>SUMIFS('Accounting data'!$G$2:$G$37000,'Accounting data'!$H$2:$H$37000,"9999*",'Accounting data'!$I$2:$I$37000,"7*",'Accounting data'!$J$2:$J$37000,"24*",'Accounting data'!$K$2:$K$37000,"67*")+SUMIFS('Accounting data'!$G$2:$G$37000,'Accounting data'!$H$2:$H$37000,"9999*",'Accounting data'!$I$2:$I$37000,"8*",'Accounting data'!$J$2:$J$37000,"24*",'Accounting data'!$K$2:$K$37000,"67*")+SUMIFS('Accounting data'!$G$2:$G$37000,'Accounting data'!$H$2:$H$37000,"9999*",'Accounting data'!$I$2:$I$37000,"9*",'Accounting data'!$J$2:$J$37000,"24*",'Accounting data'!$K$2:$K$37000,"67*")</f>
        <v>0</v>
      </c>
    </row>
    <row r="1267" spans="1:5" x14ac:dyDescent="0.2">
      <c r="A1267" s="524"/>
      <c r="B1267" s="522"/>
      <c r="C1267" s="522"/>
      <c r="D1267" s="531"/>
      <c r="E1267" s="523"/>
    </row>
    <row r="1268" spans="1:5" x14ac:dyDescent="0.2">
      <c r="A1268" s="524"/>
      <c r="B1268" s="522"/>
      <c r="C1268" s="522"/>
      <c r="D1268" s="531"/>
      <c r="E1268" s="523"/>
    </row>
    <row r="1269" spans="1:5" x14ac:dyDescent="0.2">
      <c r="A1269" s="525" t="s">
        <v>1092</v>
      </c>
      <c r="B1269" s="525"/>
      <c r="C1269" s="525"/>
      <c r="D1269" s="525"/>
      <c r="E1269" s="527">
        <f>(E1259-E1260-E1261)-((E1262+E1263)-(E1264+E1265))-(E1266+E1267+E1268)</f>
        <v>0</v>
      </c>
    </row>
    <row r="1270" spans="1:5" x14ac:dyDescent="0.2">
      <c r="A1270" s="522" t="s">
        <v>991</v>
      </c>
      <c r="B1270" s="522" t="s">
        <v>993</v>
      </c>
      <c r="C1270" s="522">
        <v>2500</v>
      </c>
      <c r="D1270" s="522">
        <v>6000</v>
      </c>
      <c r="E1270" s="523">
        <f>SUMIFS('Accounting data'!$G$2:$G$37000,'Accounting data'!$I$2:$I$37000,"7*",'Accounting data'!$J$2:$J$37000,"25*",'Accounting data'!$K$2:$K$37000,"6*")+SUMIFS('Accounting data'!$G$2:$G$37000,'Accounting data'!$I$2:$I$37000,"8*",'Accounting data'!$J$2:$J$37000,"25*",'Accounting data'!$K$2:$K$37000,"6*")+SUMIFS('Accounting data'!$G$2:$G$37000,'Accounting data'!$I$2:$I$37000,"9*",'Accounting data'!$J$2:$J$37000,"25*",'Accounting data'!$K$2:$K$37000,"6*")</f>
        <v>0</v>
      </c>
    </row>
    <row r="1271" spans="1:5" x14ac:dyDescent="0.2">
      <c r="A1271" s="522" t="s">
        <v>991</v>
      </c>
      <c r="B1271" s="522" t="s">
        <v>993</v>
      </c>
      <c r="C1271" s="522">
        <v>2500</v>
      </c>
      <c r="D1271" s="522">
        <v>6900</v>
      </c>
      <c r="E1271" s="523">
        <f>SUMIFS('Accounting data'!$G$2:$G$37000,'Accounting data'!$I$2:$I$37000,"7*",'Accounting data'!$J$2:$J$37000,"25*",'Accounting data'!$K$2:$K$37000,"69*")+SUMIFS('Accounting data'!$G$2:$G$37000,'Accounting data'!$I$2:$I$37000,"8*",'Accounting data'!$J$2:$J$37000,"25*",'Accounting data'!$K$2:$K$37000,"69*")+SUMIFS('Accounting data'!$G$2:$G$37000,'Accounting data'!$I$2:$I$37000,"9*",'Accounting data'!$J$2:$J$37000,"25*",'Accounting data'!$K$2:$K$37000,"69*")</f>
        <v>0</v>
      </c>
    </row>
    <row r="1272" spans="1:5" x14ac:dyDescent="0.2">
      <c r="A1272" s="522" t="s">
        <v>991</v>
      </c>
      <c r="B1272" s="522" t="s">
        <v>993</v>
      </c>
      <c r="C1272" s="522">
        <v>2500</v>
      </c>
      <c r="D1272" s="531">
        <v>6700</v>
      </c>
      <c r="E1272" s="523">
        <f>SUMIFS('Accounting data'!$G$2:$G$37000,'Accounting data'!$I$2:$I$37000,"7*",'Accounting data'!$J$2:$J$37000,"25*",'Accounting data'!$K$2:$K$37000,"67*")+SUMIFS('Accounting data'!$G$2:$G$37000,'Accounting data'!$I$2:$I$37000,"8*",'Accounting data'!$J$2:$J$37000,"25*",'Accounting data'!$K$2:$K$37000,"67*")+SUMIFS('Accounting data'!$G$2:$G$37000,'Accounting data'!$I$2:$I$37000,"9*",'Accounting data'!$J$2:$J$37000,"25*",'Accounting data'!$K$2:$K$37000,"67*")</f>
        <v>0</v>
      </c>
    </row>
    <row r="1273" spans="1:5" x14ac:dyDescent="0.2">
      <c r="A1273" s="524" t="s">
        <v>992</v>
      </c>
      <c r="B1273" s="522" t="s">
        <v>993</v>
      </c>
      <c r="C1273" s="522">
        <v>2500</v>
      </c>
      <c r="D1273" s="522">
        <v>6000</v>
      </c>
      <c r="E1273" s="523">
        <f>SUMIFS('Accounting data'!$G$2:$G$37000,'Accounting data'!$H$2:$H$37000,"9999*",'Accounting data'!$I$2:$I$37000,"7*",'Accounting data'!$J$2:$J$37000,"25*",'Accounting data'!$K$2:$K$37000,"6*")+SUMIFS('Accounting data'!$G$2:$G$37000,'Accounting data'!$H$2:$H$37000,"9999*",'Accounting data'!$I$2:$I$37000,"8*",'Accounting data'!$J$2:$J$37000,"25*",'Accounting data'!$K$2:$K$37000,"6*")+SUMIFS('Accounting data'!$G$2:$G$37000,'Accounting data'!$H$2:$H$37000,"9999*",'Accounting data'!$I$2:$I$37000,"9*",'Accounting data'!$J$2:$J$37000,"25*",'Accounting data'!$K$2:$K$37000,"6*")</f>
        <v>0</v>
      </c>
    </row>
    <row r="1274" spans="1:5" x14ac:dyDescent="0.2">
      <c r="A1274" s="522"/>
      <c r="B1274" s="522"/>
      <c r="C1274" s="522"/>
      <c r="D1274" s="522"/>
      <c r="E1274" s="523"/>
    </row>
    <row r="1275" spans="1:5" x14ac:dyDescent="0.2">
      <c r="A1275" s="524" t="s">
        <v>992</v>
      </c>
      <c r="B1275" s="522" t="s">
        <v>993</v>
      </c>
      <c r="C1275" s="522">
        <v>2500</v>
      </c>
      <c r="D1275" s="522">
        <v>6900</v>
      </c>
      <c r="E1275" s="523">
        <f>SUMIFS('Accounting data'!$G$2:$G$37000,'Accounting data'!$H$2:$H$37000,"9999*",'Accounting data'!$I$2:$I$37000,"7*",'Accounting data'!$J$2:$J$37000,"25*",'Accounting data'!$K$2:$K$37000,"69*")+SUMIFS('Accounting data'!$G$2:$G$37000,'Accounting data'!$H$2:$H$37000,"9999*",'Accounting data'!$I$2:$I$37000,"8*",'Accounting data'!$J$2:$J$37000,"25*",'Accounting data'!$K$2:$K$37000,"69*")+SUMIFS('Accounting data'!$G$2:$G$37000,'Accounting data'!$H$2:$H$37000,"9999*",'Accounting data'!$I$2:$I$37000,"9*",'Accounting data'!$J$2:$J$37000,"25*",'Accounting data'!$K$2:$K$37000,"69*")</f>
        <v>0</v>
      </c>
    </row>
    <row r="1276" spans="1:5" x14ac:dyDescent="0.2">
      <c r="A1276" s="522"/>
      <c r="B1276" s="522"/>
      <c r="C1276" s="522"/>
      <c r="D1276" s="522"/>
      <c r="E1276" s="523"/>
    </row>
    <row r="1277" spans="1:5" x14ac:dyDescent="0.2">
      <c r="A1277" s="524" t="s">
        <v>992</v>
      </c>
      <c r="B1277" s="522" t="s">
        <v>993</v>
      </c>
      <c r="C1277" s="522">
        <v>2500</v>
      </c>
      <c r="D1277" s="531">
        <v>6700</v>
      </c>
      <c r="E1277" s="523">
        <f>SUMIFS('Accounting data'!$G$2:$G$37000,'Accounting data'!$H$2:$H$37000,"9999*",'Accounting data'!$I$2:$I$37000,"7*",'Accounting data'!$J$2:$J$37000,"25*",'Accounting data'!$K$2:$K$37000,"67*")+SUMIFS('Accounting data'!$G$2:$G$37000,'Accounting data'!$H$2:$H$37000,"9999*",'Accounting data'!$I$2:$I$37000,"8*",'Accounting data'!$J$2:$J$37000,"25*",'Accounting data'!$K$2:$K$37000,"67*")+SUMIFS('Accounting data'!$G$2:$G$37000,'Accounting data'!$H$2:$H$37000,"9999*",'Accounting data'!$I$2:$I$37000,"9*",'Accounting data'!$J$2:$J$37000,"25*",'Accounting data'!$K$2:$K$37000,"67*")</f>
        <v>0</v>
      </c>
    </row>
    <row r="1278" spans="1:5" x14ac:dyDescent="0.2">
      <c r="A1278" s="524"/>
      <c r="B1278" s="522"/>
      <c r="C1278" s="522"/>
      <c r="D1278" s="531"/>
      <c r="E1278" s="523"/>
    </row>
    <row r="1279" spans="1:5" x14ac:dyDescent="0.2">
      <c r="A1279" s="524"/>
      <c r="B1279" s="522"/>
      <c r="C1279" s="522"/>
      <c r="D1279" s="531"/>
      <c r="E1279" s="523"/>
    </row>
    <row r="1280" spans="1:5" x14ac:dyDescent="0.2">
      <c r="A1280" s="525" t="s">
        <v>1093</v>
      </c>
      <c r="B1280" s="525"/>
      <c r="C1280" s="525"/>
      <c r="D1280" s="525"/>
      <c r="E1280" s="527">
        <f>(E1270-E1271-E1272)-((E1273+E1274)-(E1275+E1276))-(E1277+E1278+E1279)</f>
        <v>0</v>
      </c>
    </row>
    <row r="1281" spans="1:5" x14ac:dyDescent="0.2">
      <c r="A1281" s="522" t="s">
        <v>991</v>
      </c>
      <c r="B1281" s="522" t="s">
        <v>993</v>
      </c>
      <c r="C1281" s="522">
        <v>2900</v>
      </c>
      <c r="D1281" s="522">
        <v>6000</v>
      </c>
      <c r="E1281" s="523">
        <f>SUMIFS('Accounting data'!$G$2:$G$37000,'Accounting data'!$I$2:$I$37000,"7*",'Accounting data'!$J$2:$J$37000,"29*",'Accounting data'!$K$2:$K$37000,"6*")+SUMIFS('Accounting data'!$G$2:$G$37000,'Accounting data'!$I$2:$I$37000,"8*",'Accounting data'!$J$2:$J$37000,"29*",'Accounting data'!$K$2:$K$37000,"6*")+SUMIFS('Accounting data'!$G$2:$G$37000,'Accounting data'!$I$2:$I$37000,"9*",'Accounting data'!$J$2:$J$37000,"29*",'Accounting data'!$K$2:$K$37000,"6*")</f>
        <v>0</v>
      </c>
    </row>
    <row r="1282" spans="1:5" x14ac:dyDescent="0.2">
      <c r="A1282" s="522" t="s">
        <v>991</v>
      </c>
      <c r="B1282" s="522" t="s">
        <v>993</v>
      </c>
      <c r="C1282" s="522">
        <v>2900</v>
      </c>
      <c r="D1282" s="522">
        <v>6900</v>
      </c>
      <c r="E1282" s="523">
        <f>SUMIFS('Accounting data'!$G$2:$G$37000,'Accounting data'!$I$2:$I$37000,"7*",'Accounting data'!$J$2:$J$37000,"29*",'Accounting data'!$K$2:$K$37000,"69*")+SUMIFS('Accounting data'!$G$2:$G$37000,'Accounting data'!$I$2:$I$37000,"8*",'Accounting data'!$J$2:$J$37000,"29*",'Accounting data'!$K$2:$K$37000,"69*")+SUMIFS('Accounting data'!$G$2:$G$37000,'Accounting data'!$I$2:$I$37000,"9*",'Accounting data'!$J$2:$J$37000,"29*",'Accounting data'!$K$2:$K$37000,"69*")</f>
        <v>0</v>
      </c>
    </row>
    <row r="1283" spans="1:5" x14ac:dyDescent="0.2">
      <c r="A1283" s="522" t="s">
        <v>991</v>
      </c>
      <c r="B1283" s="522" t="s">
        <v>993</v>
      </c>
      <c r="C1283" s="522">
        <v>2900</v>
      </c>
      <c r="D1283" s="531">
        <v>6700</v>
      </c>
      <c r="E1283" s="523">
        <f>SUMIFS('Accounting data'!$G$2:$G$37000,'Accounting data'!$I$2:$I$37000,"7*",'Accounting data'!$J$2:$J$37000,"29*",'Accounting data'!$K$2:$K$37000,"67*")+SUMIFS('Accounting data'!$G$2:$G$37000,'Accounting data'!$I$2:$I$37000,"8*",'Accounting data'!$J$2:$J$37000,"29*",'Accounting data'!$K$2:$K$37000,"67*")+SUMIFS('Accounting data'!$G$2:$G$37000,'Accounting data'!$I$2:$I$37000,"9*",'Accounting data'!$J$2:$J$37000,"29*",'Accounting data'!$K$2:$K$37000,"67*")</f>
        <v>0</v>
      </c>
    </row>
    <row r="1284" spans="1:5" x14ac:dyDescent="0.2">
      <c r="A1284" s="524" t="s">
        <v>992</v>
      </c>
      <c r="B1284" s="522" t="s">
        <v>993</v>
      </c>
      <c r="C1284" s="522">
        <v>2900</v>
      </c>
      <c r="D1284" s="522">
        <v>6000</v>
      </c>
      <c r="E1284" s="523">
        <f>SUMIFS('Accounting data'!$G$2:$G$37000,'Accounting data'!$H$2:$H$37000,"9999*",'Accounting data'!$I$2:$I$37000,"7*",'Accounting data'!$J$2:$J$37000,"29*",'Accounting data'!$K$2:$K$37000,"6*")+SUMIFS('Accounting data'!$G$2:$G$37000,'Accounting data'!$H$2:$H$37000,"9999*",'Accounting data'!$I$2:$I$37000,"8*",'Accounting data'!$J$2:$J$37000,"29*",'Accounting data'!$K$2:$K$37000,"6*")+SUMIFS('Accounting data'!$G$2:$G$37000,'Accounting data'!$H$2:$H$37000,"9999*",'Accounting data'!$I$2:$I$37000,"9*",'Accounting data'!$J$2:$J$37000,"29*",'Accounting data'!$K$2:$K$37000,"6*")</f>
        <v>0</v>
      </c>
    </row>
    <row r="1285" spans="1:5" x14ac:dyDescent="0.2">
      <c r="A1285" s="522"/>
      <c r="B1285" s="522"/>
      <c r="C1285" s="522"/>
      <c r="D1285" s="522"/>
      <c r="E1285" s="523"/>
    </row>
    <row r="1286" spans="1:5" x14ac:dyDescent="0.2">
      <c r="A1286" s="524" t="s">
        <v>992</v>
      </c>
      <c r="B1286" s="522" t="s">
        <v>993</v>
      </c>
      <c r="C1286" s="522">
        <v>2900</v>
      </c>
      <c r="D1286" s="522">
        <v>6900</v>
      </c>
      <c r="E1286" s="523">
        <f>SUMIFS('Accounting data'!$G$2:$G$37000,'Accounting data'!$H$2:$H$37000,"9999*",'Accounting data'!$I$2:$I$37000,"7*",'Accounting data'!$J$2:$J$37000,"29*",'Accounting data'!$K$2:$K$37000,"69*")+SUMIFS('Accounting data'!$G$2:$G$37000,'Accounting data'!$H$2:$H$37000,"9999*",'Accounting data'!$I$2:$I$37000,"8*",'Accounting data'!$J$2:$J$37000,"29*",'Accounting data'!$K$2:$K$37000,"69*")+SUMIFS('Accounting data'!$G$2:$G$37000,'Accounting data'!$H$2:$H$37000,"9999*",'Accounting data'!$I$2:$I$37000,"9*",'Accounting data'!$J$2:$J$37000,"29*",'Accounting data'!$K$2:$K$37000,"69*")</f>
        <v>0</v>
      </c>
    </row>
    <row r="1287" spans="1:5" x14ac:dyDescent="0.2">
      <c r="A1287" s="522"/>
      <c r="B1287" s="522"/>
      <c r="C1287" s="522"/>
      <c r="D1287" s="522"/>
      <c r="E1287" s="523"/>
    </row>
    <row r="1288" spans="1:5" x14ac:dyDescent="0.2">
      <c r="A1288" s="524" t="s">
        <v>992</v>
      </c>
      <c r="B1288" s="522" t="s">
        <v>993</v>
      </c>
      <c r="C1288" s="522">
        <v>2900</v>
      </c>
      <c r="D1288" s="531">
        <v>6700</v>
      </c>
      <c r="E1288" s="523">
        <f>SUMIFS('Accounting data'!$G$2:$G$37000,'Accounting data'!$H$2:$H$37000,"9999*",'Accounting data'!$I$2:$I$37000,"7*",'Accounting data'!$J$2:$J$37000,"29*",'Accounting data'!$K$2:$K$37000,"67*")+SUMIFS('Accounting data'!$G$2:$G$37000,'Accounting data'!$H$2:$H$37000,"9999*",'Accounting data'!$I$2:$I$37000,"8*",'Accounting data'!$J$2:$J$37000,"29*",'Accounting data'!$K$2:$K$37000,"67*")+SUMIFS('Accounting data'!$G$2:$G$37000,'Accounting data'!$H$2:$H$37000,"9999*",'Accounting data'!$I$2:$I$37000,"9*",'Accounting data'!$J$2:$J$37000,"29*",'Accounting data'!$K$2:$K$37000,"67*")</f>
        <v>0</v>
      </c>
    </row>
    <row r="1289" spans="1:5" x14ac:dyDescent="0.2">
      <c r="A1289" s="524"/>
      <c r="B1289" s="522"/>
      <c r="C1289" s="522"/>
      <c r="D1289" s="531"/>
      <c r="E1289" s="523"/>
    </row>
    <row r="1290" spans="1:5" x14ac:dyDescent="0.2">
      <c r="A1290" s="524"/>
      <c r="B1290" s="522"/>
      <c r="C1290" s="522"/>
      <c r="D1290" s="531"/>
      <c r="E1290" s="523"/>
    </row>
    <row r="1291" spans="1:5" x14ac:dyDescent="0.2">
      <c r="A1291" s="525" t="s">
        <v>1094</v>
      </c>
      <c r="B1291" s="525"/>
      <c r="C1291" s="525"/>
      <c r="D1291" s="525"/>
      <c r="E1291" s="527">
        <f>(E1281-E1282-E1283)-((E1284+E1285)-(E1286+E1287))-(E1288+E1289+E1290)</f>
        <v>0</v>
      </c>
    </row>
    <row r="1292" spans="1:5" x14ac:dyDescent="0.2">
      <c r="A1292" s="522" t="s">
        <v>991</v>
      </c>
      <c r="B1292" s="522" t="s">
        <v>993</v>
      </c>
      <c r="C1292" s="522">
        <v>2600</v>
      </c>
      <c r="D1292" s="522">
        <v>6000</v>
      </c>
      <c r="E1292" s="523">
        <f>SUMIFS('Accounting data'!$G$2:$G$37000,'Accounting data'!$I$2:$I$37000,"7*",'Accounting data'!$J$2:$J$37000,"26*",'Accounting data'!$K$2:$K$37000,"6*")+SUMIFS('Accounting data'!$G$2:$G$37000,'Accounting data'!$I$2:$I$37000,"8*",'Accounting data'!$J$2:$J$37000,"26*",'Accounting data'!$K$2:$K$37000,"6*")+SUMIFS('Accounting data'!$G$2:$G$37000,'Accounting data'!$I$2:$I$37000,"9*",'Accounting data'!$J$2:$J$37000,"26*",'Accounting data'!$K$2:$K$37000,"6*")</f>
        <v>0</v>
      </c>
    </row>
    <row r="1293" spans="1:5" x14ac:dyDescent="0.2">
      <c r="A1293" s="522" t="s">
        <v>991</v>
      </c>
      <c r="B1293" s="522" t="s">
        <v>993</v>
      </c>
      <c r="C1293" s="522">
        <v>2600</v>
      </c>
      <c r="D1293" s="522">
        <v>6900</v>
      </c>
      <c r="E1293" s="523">
        <f>SUMIFS('Accounting data'!$G$2:$G$37000,'Accounting data'!$I$2:$I$37000,"7*",'Accounting data'!$J$2:$J$37000,"26*",'Accounting data'!$K$2:$K$37000,"69*")+SUMIFS('Accounting data'!$G$2:$G$37000,'Accounting data'!$I$2:$I$37000,"8*",'Accounting data'!$J$2:$J$37000,"26*",'Accounting data'!$K$2:$K$37000,"69*")+SUMIFS('Accounting data'!$G$2:$G$37000,'Accounting data'!$I$2:$I$37000,"9*",'Accounting data'!$J$2:$J$37000,"26*",'Accounting data'!$K$2:$K$37000,"69*")</f>
        <v>0</v>
      </c>
    </row>
    <row r="1294" spans="1:5" x14ac:dyDescent="0.2">
      <c r="A1294" s="522" t="s">
        <v>991</v>
      </c>
      <c r="B1294" s="522" t="s">
        <v>993</v>
      </c>
      <c r="C1294" s="522">
        <v>2600</v>
      </c>
      <c r="D1294" s="531">
        <v>6700</v>
      </c>
      <c r="E1294" s="523">
        <f>SUMIFS('Accounting data'!$G$2:$G$37000,'Accounting data'!$I$2:$I$37000,"7*",'Accounting data'!$J$2:$J$37000,"26*",'Accounting data'!$K$2:$K$37000,"67*")+SUMIFS('Accounting data'!$G$2:$G$37000,'Accounting data'!$I$2:$I$37000,"8*",'Accounting data'!$J$2:$J$37000,"26*",'Accounting data'!$K$2:$K$37000,"67*")+SUMIFS('Accounting data'!$G$2:$G$37000,'Accounting data'!$I$2:$I$37000,"9*",'Accounting data'!$J$2:$J$37000,"26*",'Accounting data'!$K$2:$K$37000,"67*")</f>
        <v>0</v>
      </c>
    </row>
    <row r="1295" spans="1:5" x14ac:dyDescent="0.2">
      <c r="A1295" s="524" t="s">
        <v>992</v>
      </c>
      <c r="B1295" s="522" t="s">
        <v>993</v>
      </c>
      <c r="C1295" s="522">
        <v>2600</v>
      </c>
      <c r="D1295" s="522">
        <v>6000</v>
      </c>
      <c r="E1295" s="523">
        <f>SUMIFS('Accounting data'!$G$2:$G$37000,'Accounting data'!$H$2:$H$37000,"9999*",'Accounting data'!$I$2:$I$37000,"7*",'Accounting data'!$J$2:$J$37000,"26*",'Accounting data'!$K$2:$K$37000,"6*")+SUMIFS('Accounting data'!$G$2:$G$37000,'Accounting data'!$H$2:$H$37000,"9999*",'Accounting data'!$I$2:$I$37000,"8*",'Accounting data'!$J$2:$J$37000,"26*",'Accounting data'!$K$2:$K$37000,"6*")+SUMIFS('Accounting data'!$G$2:$G$37000,'Accounting data'!$H$2:$H$37000,"9999*",'Accounting data'!$I$2:$I$37000,"9*",'Accounting data'!$J$2:$J$37000,"26*",'Accounting data'!$K$2:$K$37000,"6*")</f>
        <v>0</v>
      </c>
    </row>
    <row r="1297" spans="1:5" x14ac:dyDescent="0.2">
      <c r="A1297" s="524" t="s">
        <v>992</v>
      </c>
      <c r="B1297" s="522" t="s">
        <v>993</v>
      </c>
      <c r="C1297" s="522">
        <v>2600</v>
      </c>
      <c r="D1297" s="522">
        <v>6900</v>
      </c>
      <c r="E1297" s="523">
        <f>SUMIFS('Accounting data'!$G$2:$G$37000,'Accounting data'!$H$2:$H$37000,"9999*",'Accounting data'!$I$2:$I$37000,"7*",'Accounting data'!$J$2:$J$37000,"26*",'Accounting data'!$K$2:$K$37000,"69*")+SUMIFS('Accounting data'!$G$2:$G$37000,'Accounting data'!$H$2:$H$37000,"9999*",'Accounting data'!$I$2:$I$37000,"8*",'Accounting data'!$J$2:$J$37000,"26*",'Accounting data'!$K$2:$K$37000,"69*")+SUMIFS('Accounting data'!$G$2:$G$37000,'Accounting data'!$H$2:$H$37000,"9999*",'Accounting data'!$I$2:$I$37000,"9*",'Accounting data'!$J$2:$J$37000,"26*",'Accounting data'!$K$2:$K$37000,"69*")</f>
        <v>0</v>
      </c>
    </row>
    <row r="1298" spans="1:5" x14ac:dyDescent="0.2">
      <c r="A1298" s="522"/>
      <c r="B1298" s="522"/>
      <c r="C1298" s="522"/>
      <c r="D1298" s="522"/>
      <c r="E1298" s="523"/>
    </row>
    <row r="1299" spans="1:5" x14ac:dyDescent="0.2">
      <c r="A1299" s="524" t="s">
        <v>992</v>
      </c>
      <c r="B1299" s="522" t="s">
        <v>993</v>
      </c>
      <c r="C1299" s="522">
        <v>2600</v>
      </c>
      <c r="D1299" s="531">
        <v>6700</v>
      </c>
      <c r="E1299" s="523">
        <f>SUMIFS('Accounting data'!$G$2:$G$37000,'Accounting data'!$H$2:$H$37000,"9999*",'Accounting data'!$I$2:$I$37000,"7*",'Accounting data'!$J$2:$J$37000,"26*",'Accounting data'!$K$2:$K$37000,"67*")+SUMIFS('Accounting data'!$G$2:$G$37000,'Accounting data'!$H$2:$H$37000,"9999*",'Accounting data'!$I$2:$I$37000,"8*",'Accounting data'!$J$2:$J$37000,"26*",'Accounting data'!$K$2:$K$37000,"67*")+SUMIFS('Accounting data'!$G$2:$G$37000,'Accounting data'!$H$2:$H$37000,"9999*",'Accounting data'!$I$2:$I$37000,"9*",'Accounting data'!$J$2:$J$37000,"26*",'Accounting data'!$K$2:$K$37000,"67*")</f>
        <v>0</v>
      </c>
    </row>
    <row r="1300" spans="1:5" x14ac:dyDescent="0.2">
      <c r="A1300" s="524"/>
      <c r="B1300" s="522"/>
      <c r="C1300" s="522"/>
      <c r="D1300" s="531"/>
      <c r="E1300" s="523"/>
    </row>
    <row r="1301" spans="1:5" x14ac:dyDescent="0.2">
      <c r="A1301" s="524"/>
      <c r="B1301" s="522"/>
      <c r="C1301" s="522"/>
      <c r="D1301" s="531"/>
      <c r="E1301" s="523"/>
    </row>
    <row r="1302" spans="1:5" x14ac:dyDescent="0.2">
      <c r="A1302" s="525" t="s">
        <v>1095</v>
      </c>
      <c r="B1302" s="525"/>
      <c r="C1302" s="525"/>
      <c r="D1302" s="525"/>
      <c r="E1302" s="527">
        <f>(E1292-E1293-E1294)-((E1295+E1296)-(E1297+E1298))-(E1299+E1300+E1301)</f>
        <v>0</v>
      </c>
    </row>
    <row r="1303" spans="1:5" x14ac:dyDescent="0.2">
      <c r="A1303" s="522" t="s">
        <v>991</v>
      </c>
      <c r="B1303" s="522" t="s">
        <v>993</v>
      </c>
      <c r="C1303" s="522">
        <v>3100</v>
      </c>
      <c r="D1303" s="522">
        <v>6000</v>
      </c>
      <c r="E1303" s="523">
        <f>SUMIFS('Accounting data'!$G$2:$G$37000,'Accounting data'!$I$2:$I$37000,"7*",'Accounting data'!$J$2:$J$37000,"31*",'Accounting data'!$K$2:$K$37000,"6*")+SUMIFS('Accounting data'!$G$2:$G$37000,'Accounting data'!$I$2:$I$37000,"8*",'Accounting data'!$J$2:$J$37000,"31*",'Accounting data'!$K$2:$K$37000,"6*")+SUMIFS('Accounting data'!$G$2:$G$37000,'Accounting data'!$I$2:$I$37000,"9*",'Accounting data'!$J$2:$J$37000,"31*",'Accounting data'!$K$2:$K$37000,"6*")</f>
        <v>0</v>
      </c>
    </row>
    <row r="1304" spans="1:5" x14ac:dyDescent="0.2">
      <c r="A1304" s="522" t="s">
        <v>991</v>
      </c>
      <c r="B1304" s="522" t="s">
        <v>993</v>
      </c>
      <c r="C1304" s="522">
        <v>3100</v>
      </c>
      <c r="D1304" s="522">
        <v>6900</v>
      </c>
      <c r="E1304" s="523">
        <f>SUMIFS('Accounting data'!$G$2:$G$37000,'Accounting data'!$I$2:$I$37000,"7*",'Accounting data'!$J$2:$J$37000,"31*",'Accounting data'!$K$2:$K$37000,"69*")+SUMIFS('Accounting data'!$G$2:$G$37000,'Accounting data'!$I$2:$I$37000,"8*",'Accounting data'!$J$2:$J$37000,"31*",'Accounting data'!$K$2:$K$37000,"69*")+SUMIFS('Accounting data'!$G$2:$G$37000,'Accounting data'!$I$2:$I$37000,"9*",'Accounting data'!$J$2:$J$37000,"31*",'Accounting data'!$K$2:$K$37000,"69*")</f>
        <v>0</v>
      </c>
    </row>
    <row r="1305" spans="1:5" x14ac:dyDescent="0.2">
      <c r="A1305" s="522" t="s">
        <v>991</v>
      </c>
      <c r="B1305" s="522" t="s">
        <v>993</v>
      </c>
      <c r="C1305" s="522">
        <v>3100</v>
      </c>
      <c r="D1305" s="531">
        <v>6700</v>
      </c>
      <c r="E1305" s="523">
        <f>SUMIFS('Accounting data'!$G$2:$G$37000,'Accounting data'!$I$2:$I$37000,"7*",'Accounting data'!$J$2:$J$37000,"31*",'Accounting data'!$K$2:$K$37000,"67*")+SUMIFS('Accounting data'!$G$2:$G$37000,'Accounting data'!$I$2:$I$37000,"8*",'Accounting data'!$J$2:$J$37000,"31*",'Accounting data'!$K$2:$K$37000,"67*")+SUMIFS('Accounting data'!$G$2:$G$37000,'Accounting data'!$I$2:$I$37000,"9*",'Accounting data'!$J$2:$J$37000,"31*",'Accounting data'!$K$2:$K$37000,"67*")</f>
        <v>0</v>
      </c>
    </row>
    <row r="1306" spans="1:5" x14ac:dyDescent="0.2">
      <c r="A1306" s="524" t="s">
        <v>992</v>
      </c>
      <c r="B1306" s="522" t="s">
        <v>993</v>
      </c>
      <c r="C1306" s="522">
        <v>3100</v>
      </c>
      <c r="D1306" s="522">
        <v>6000</v>
      </c>
      <c r="E1306" s="523">
        <f>SUMIFS('Accounting data'!$G$2:$G$37000,'Accounting data'!$H$2:$H$37000,"9999*",'Accounting data'!$I$2:$I$37000,"7*",'Accounting data'!$J$2:$J$37000,"31*",'Accounting data'!$K$2:$K$37000,"6*")+SUMIFS('Accounting data'!$G$2:$G$37000,'Accounting data'!$H$2:$H$37000,"9999*",'Accounting data'!$I$2:$I$37000,"8*",'Accounting data'!$J$2:$J$37000,"31*",'Accounting data'!$K$2:$K$37000,"6*")+SUMIFS('Accounting data'!$G$2:$G$37000,'Accounting data'!$H$2:$H$37000,"9999*",'Accounting data'!$I$2:$I$37000,"9*",'Accounting data'!$J$2:$J$37000,"31*",'Accounting data'!$K$2:$K$37000,"6*")</f>
        <v>0</v>
      </c>
    </row>
    <row r="1307" spans="1:5" x14ac:dyDescent="0.2">
      <c r="A1307" s="522"/>
      <c r="B1307" s="522"/>
      <c r="C1307" s="522"/>
      <c r="D1307" s="522"/>
      <c r="E1307" s="523"/>
    </row>
    <row r="1308" spans="1:5" x14ac:dyDescent="0.2">
      <c r="A1308" s="524" t="s">
        <v>992</v>
      </c>
      <c r="B1308" s="522" t="s">
        <v>993</v>
      </c>
      <c r="C1308" s="522">
        <v>3100</v>
      </c>
      <c r="D1308" s="522">
        <v>6900</v>
      </c>
      <c r="E1308" s="523">
        <f>SUMIFS('Accounting data'!$G$2:$G$37000,'Accounting data'!$H$2:$H$37000,"9999*",'Accounting data'!$I$2:$I$37000,"7*",'Accounting data'!$J$2:$J$37000,"31*",'Accounting data'!$K$2:$K$37000,"69*")+SUMIFS('Accounting data'!$G$2:$G$37000,'Accounting data'!$H$2:$H$37000,"9999*",'Accounting data'!$I$2:$I$37000,"8*",'Accounting data'!$J$2:$J$37000,"31*",'Accounting data'!$K$2:$K$37000,"69*")+SUMIFS('Accounting data'!$G$2:$G$37000,'Accounting data'!$H$2:$H$37000,"9999*",'Accounting data'!$I$2:$I$37000,"9*",'Accounting data'!$J$2:$J$37000,"31*",'Accounting data'!$K$2:$K$37000,"69*")</f>
        <v>0</v>
      </c>
    </row>
    <row r="1309" spans="1:5" x14ac:dyDescent="0.2">
      <c r="A1309" s="522"/>
      <c r="B1309" s="522"/>
      <c r="C1309" s="522"/>
      <c r="D1309" s="522"/>
      <c r="E1309" s="523"/>
    </row>
    <row r="1310" spans="1:5" x14ac:dyDescent="0.2">
      <c r="A1310" s="524" t="s">
        <v>992</v>
      </c>
      <c r="B1310" s="522" t="s">
        <v>993</v>
      </c>
      <c r="C1310" s="522">
        <v>3100</v>
      </c>
      <c r="D1310" s="531">
        <v>6700</v>
      </c>
      <c r="E1310" s="523">
        <f>SUMIFS('Accounting data'!$G$2:$G$37000,'Accounting data'!$H$2:$H$37000,"9999*",'Accounting data'!$I$2:$I$37000,"7*",'Accounting data'!$J$2:$J$37000,"31*",'Accounting data'!$K$2:$K$37000,"67*")+SUMIFS('Accounting data'!$G$2:$G$37000,'Accounting data'!$H$2:$H$37000,"9999*",'Accounting data'!$I$2:$I$37000,"8*",'Accounting data'!$J$2:$J$37000,"31*",'Accounting data'!$K$2:$K$37000,"67*")+SUMIFS('Accounting data'!$G$2:$G$37000,'Accounting data'!$H$2:$H$37000,"9999*",'Accounting data'!$I$2:$I$37000,"9*",'Accounting data'!$J$2:$J$37000,"31*",'Accounting data'!$K$2:$K$37000,"67*")</f>
        <v>0</v>
      </c>
    </row>
    <row r="1313" spans="1:5" x14ac:dyDescent="0.2">
      <c r="A1313" s="525" t="s">
        <v>1096</v>
      </c>
      <c r="B1313" s="525"/>
      <c r="C1313" s="525"/>
      <c r="D1313" s="525"/>
      <c r="E1313" s="527">
        <f>(E1303-E1304-E1305)-((E1306+E1307)-(E1308+E1309))-(E1310+E1311+E1312)</f>
        <v>0</v>
      </c>
    </row>
    <row r="1314" spans="1:5" x14ac:dyDescent="0.2">
      <c r="A1314" s="522"/>
      <c r="B1314" s="522"/>
      <c r="C1314" s="522"/>
      <c r="D1314" s="522"/>
      <c r="E1314" s="523"/>
    </row>
    <row r="1315" spans="1:5" x14ac:dyDescent="0.2">
      <c r="A1315" s="522"/>
      <c r="B1315" s="522"/>
      <c r="C1315" s="522"/>
      <c r="D1315" s="522"/>
      <c r="E1315" s="523"/>
    </row>
    <row r="1316" spans="1:5" x14ac:dyDescent="0.2">
      <c r="A1316" s="522"/>
      <c r="B1316" s="522"/>
      <c r="C1316" s="522"/>
      <c r="D1316" s="531"/>
      <c r="E1316" s="523"/>
    </row>
    <row r="1317" spans="1:5" x14ac:dyDescent="0.2">
      <c r="A1317" s="524"/>
      <c r="B1317" s="522"/>
      <c r="C1317" s="522"/>
      <c r="D1317" s="522"/>
      <c r="E1317" s="523"/>
    </row>
    <row r="1318" spans="1:5" x14ac:dyDescent="0.2">
      <c r="A1318" s="522"/>
      <c r="B1318" s="522"/>
      <c r="C1318" s="522"/>
      <c r="D1318" s="522"/>
      <c r="E1318" s="523"/>
    </row>
    <row r="1319" spans="1:5" x14ac:dyDescent="0.2">
      <c r="A1319" s="524"/>
      <c r="B1319" s="522"/>
      <c r="C1319" s="522"/>
      <c r="D1319" s="522"/>
      <c r="E1319" s="523"/>
    </row>
    <row r="1320" spans="1:5" x14ac:dyDescent="0.2">
      <c r="A1320" s="522"/>
      <c r="B1320" s="522"/>
      <c r="C1320" s="522"/>
      <c r="D1320" s="522"/>
      <c r="E1320" s="523"/>
    </row>
    <row r="1321" spans="1:5" x14ac:dyDescent="0.2">
      <c r="A1321" s="524"/>
      <c r="B1321" s="522"/>
      <c r="C1321" s="522"/>
      <c r="D1321" s="531"/>
      <c r="E1321" s="523"/>
    </row>
    <row r="1322" spans="1:5" x14ac:dyDescent="0.2">
      <c r="A1322" s="524"/>
      <c r="B1322" s="522"/>
      <c r="C1322" s="522"/>
      <c r="D1322" s="531"/>
      <c r="E1322" s="523"/>
    </row>
    <row r="1323" spans="1:5" x14ac:dyDescent="0.2">
      <c r="A1323" s="524"/>
      <c r="B1323" s="522"/>
      <c r="C1323" s="522"/>
      <c r="D1323" s="531"/>
      <c r="E1323" s="523"/>
    </row>
    <row r="1324" spans="1:5" x14ac:dyDescent="0.2">
      <c r="A1324" s="525"/>
      <c r="B1324" s="525"/>
      <c r="C1324" s="525"/>
      <c r="D1324" s="525"/>
      <c r="E1324" s="527"/>
    </row>
    <row r="1325" spans="1:5" x14ac:dyDescent="0.2">
      <c r="A1325" s="522" t="s">
        <v>991</v>
      </c>
      <c r="B1325" s="522" t="s">
        <v>993</v>
      </c>
      <c r="C1325" s="522">
        <v>3300</v>
      </c>
      <c r="D1325" s="522">
        <v>6000</v>
      </c>
      <c r="E1325" s="523">
        <f>SUMIFS('Accounting data'!$G$2:$G$37000,'Accounting data'!$I$2:$I$37000,"7*",'Accounting data'!$J$2:$J$37000,"33*",'Accounting data'!$K$2:$K$37000,"6*")+SUMIFS('Accounting data'!$G$2:$G$37000,'Accounting data'!$I$2:$I$37000,"8*",'Accounting data'!$J$2:$J$37000,"33*",'Accounting data'!$K$2:$K$37000,"6*")+SUMIFS('Accounting data'!$G$2:$G$37000,'Accounting data'!$I$2:$I$37000,"9*",'Accounting data'!$J$2:$J$37000,"33*",'Accounting data'!$K$2:$K$37000,"6*")</f>
        <v>0</v>
      </c>
    </row>
    <row r="1326" spans="1:5" x14ac:dyDescent="0.2">
      <c r="A1326" s="522" t="s">
        <v>991</v>
      </c>
      <c r="B1326" s="522" t="s">
        <v>993</v>
      </c>
      <c r="C1326" s="522">
        <v>3300</v>
      </c>
      <c r="D1326" s="522">
        <v>6900</v>
      </c>
      <c r="E1326" s="523">
        <f>SUMIFS('Accounting data'!$G$2:$G$37000,'Accounting data'!$I$2:$I$37000,"7*",'Accounting data'!$J$2:$J$37000,"33*",'Accounting data'!$K$2:$K$37000,"69*")+SUMIFS('Accounting data'!$G$2:$G$37000,'Accounting data'!$I$2:$I$37000,"8*",'Accounting data'!$J$2:$J$37000,"33*",'Accounting data'!$K$2:$K$37000,"69*")+SUMIFS('Accounting data'!$G$2:$G$37000,'Accounting data'!$I$2:$I$37000,"9*",'Accounting data'!$J$2:$J$37000,"33*",'Accounting data'!$K$2:$K$37000,"69*")</f>
        <v>0</v>
      </c>
    </row>
    <row r="1327" spans="1:5" x14ac:dyDescent="0.2">
      <c r="A1327" s="522" t="s">
        <v>991</v>
      </c>
      <c r="B1327" s="522" t="s">
        <v>993</v>
      </c>
      <c r="C1327" s="522">
        <v>3300</v>
      </c>
      <c r="D1327" s="531">
        <v>6700</v>
      </c>
      <c r="E1327" s="523">
        <f>SUMIFS('Accounting data'!$G$2:$G$37000,'Accounting data'!$I$2:$I$37000,"7*",'Accounting data'!$J$2:$J$37000,"33*",'Accounting data'!$K$2:$K$37000,"67*")+SUMIFS('Accounting data'!$G$2:$G$37000,'Accounting data'!$I$2:$I$37000,"8*",'Accounting data'!$J$2:$J$37000,"33*",'Accounting data'!$K$2:$K$37000,"67*")+SUMIFS('Accounting data'!$G$2:$G$37000,'Accounting data'!$I$2:$I$37000,"9*",'Accounting data'!$J$2:$J$37000,"33*",'Accounting data'!$K$2:$K$37000,"67*")</f>
        <v>0</v>
      </c>
    </row>
    <row r="1328" spans="1:5" x14ac:dyDescent="0.2">
      <c r="A1328" s="524" t="s">
        <v>992</v>
      </c>
      <c r="B1328" s="522" t="s">
        <v>993</v>
      </c>
      <c r="C1328" s="522">
        <v>3300</v>
      </c>
      <c r="D1328" s="522">
        <v>6000</v>
      </c>
      <c r="E1328" s="523">
        <f>SUMIFS('Accounting data'!$G$2:$G$37000,'Accounting data'!$H$2:$H$37000,"9999*",'Accounting data'!$I$2:$I$37000,"7*",'Accounting data'!$J$2:$J$37000,"33*",'Accounting data'!$K$2:$K$37000,"6*")+SUMIFS('Accounting data'!$G$2:$G$37000,'Accounting data'!$H$2:$H$37000,"9999*",'Accounting data'!$I$2:$I$37000,"8*",'Accounting data'!$J$2:$J$37000,"33*",'Accounting data'!$K$2:$K$37000,"6*")+SUMIFS('Accounting data'!$G$2:$G$37000,'Accounting data'!$H$2:$H$37000,"9999*",'Accounting data'!$I$2:$I$37000,"9*",'Accounting data'!$J$2:$J$37000,"33*",'Accounting data'!$K$2:$K$37000,"6*")</f>
        <v>0</v>
      </c>
    </row>
    <row r="1330" spans="1:5" x14ac:dyDescent="0.2">
      <c r="A1330" s="524" t="s">
        <v>992</v>
      </c>
      <c r="B1330" s="522" t="s">
        <v>993</v>
      </c>
      <c r="C1330" s="522">
        <v>3300</v>
      </c>
      <c r="D1330" s="522">
        <v>6900</v>
      </c>
      <c r="E1330" s="523">
        <f>SUMIFS('Accounting data'!$G$2:$G$37000,'Accounting data'!$H$2:$H$37000,"9999*",'Accounting data'!$I$2:$I$37000,"7*",'Accounting data'!$J$2:$J$37000,"33*",'Accounting data'!$K$2:$K$37000,"69*")+SUMIFS('Accounting data'!$G$2:$G$37000,'Accounting data'!$H$2:$H$37000,"9999*",'Accounting data'!$I$2:$I$37000,"8*",'Accounting data'!$J$2:$J$37000,"33*",'Accounting data'!$K$2:$K$37000,"69*")+SUMIFS('Accounting data'!$G$2:$G$37000,'Accounting data'!$H$2:$H$37000,"9999*",'Accounting data'!$I$2:$I$37000,"9*",'Accounting data'!$J$2:$J$37000,"33*",'Accounting data'!$K$2:$K$37000,"69*")</f>
        <v>0</v>
      </c>
    </row>
    <row r="1331" spans="1:5" x14ac:dyDescent="0.2">
      <c r="A1331" s="522"/>
      <c r="B1331" s="522"/>
      <c r="C1331" s="522"/>
      <c r="D1331" s="522"/>
      <c r="E1331" s="523"/>
    </row>
    <row r="1332" spans="1:5" x14ac:dyDescent="0.2">
      <c r="A1332" s="524" t="s">
        <v>992</v>
      </c>
      <c r="B1332" s="522" t="s">
        <v>993</v>
      </c>
      <c r="C1332" s="522">
        <v>3300</v>
      </c>
      <c r="D1332" s="531">
        <v>6700</v>
      </c>
      <c r="E1332" s="523">
        <f>SUMIFS('Accounting data'!$G$2:$G$37000,'Accounting data'!$H$2:$H$37000,"9999*",'Accounting data'!$I$2:$I$37000,"7*",'Accounting data'!$J$2:$J$37000,"33*",'Accounting data'!$K$2:$K$37000,"67*")+SUMIFS('Accounting data'!$G$2:$G$37000,'Accounting data'!$H$2:$H$37000,"9999*",'Accounting data'!$I$2:$I$37000,"8*",'Accounting data'!$J$2:$J$37000,"33*",'Accounting data'!$K$2:$K$37000,"67*")+SUMIFS('Accounting data'!$G$2:$G$37000,'Accounting data'!$H$2:$H$37000,"9999*",'Accounting data'!$I$2:$I$37000,"9*",'Accounting data'!$J$2:$J$37000,"33*",'Accounting data'!$K$2:$K$37000,"67*")</f>
        <v>0</v>
      </c>
    </row>
    <row r="1333" spans="1:5" x14ac:dyDescent="0.2">
      <c r="A1333" s="524"/>
      <c r="B1333" s="522"/>
      <c r="C1333" s="522"/>
      <c r="D1333" s="531"/>
      <c r="E1333" s="523"/>
    </row>
    <row r="1334" spans="1:5" x14ac:dyDescent="0.2">
      <c r="A1334" s="524"/>
      <c r="B1334" s="522"/>
      <c r="C1334" s="522"/>
      <c r="D1334" s="531"/>
      <c r="E1334" s="523"/>
    </row>
    <row r="1335" spans="1:5" x14ac:dyDescent="0.2">
      <c r="A1335" s="525" t="s">
        <v>1097</v>
      </c>
      <c r="B1335" s="525"/>
      <c r="C1335" s="525"/>
      <c r="D1335" s="525"/>
      <c r="E1335" s="527">
        <f>(E1325-E1326-E1327)-((E1328+E1329)-(E1330+E1331))-(E1332+E1333+E1334)</f>
        <v>0</v>
      </c>
    </row>
    <row r="1336" spans="1:5" x14ac:dyDescent="0.2">
      <c r="A1336" s="522" t="s">
        <v>991</v>
      </c>
      <c r="B1336" s="522" t="s">
        <v>993</v>
      </c>
      <c r="C1336" s="522">
        <v>3400</v>
      </c>
      <c r="D1336" s="522">
        <v>6000</v>
      </c>
      <c r="E1336" s="523">
        <f>SUMIFS('Accounting data'!$G$2:$G$37000,'Accounting data'!$I$2:$I$37000,"7*",'Accounting data'!$J$2:$J$37000,"34*",'Accounting data'!$K$2:$K$37000,"6*")+SUMIFS('Accounting data'!$G$2:$G$37000,'Accounting data'!$I$2:$I$37000,"8*",'Accounting data'!$J$2:$J$37000,"34*",'Accounting data'!$K$2:$K$37000,"6*")+SUMIFS('Accounting data'!$G$2:$G$37000,'Accounting data'!$I$2:$I$37000,"9*",'Accounting data'!$J$2:$J$37000,"34*",'Accounting data'!$K$2:$K$37000,"6*")</f>
        <v>0</v>
      </c>
    </row>
    <row r="1337" spans="1:5" x14ac:dyDescent="0.2">
      <c r="A1337" s="522" t="s">
        <v>991</v>
      </c>
      <c r="B1337" s="522" t="s">
        <v>993</v>
      </c>
      <c r="C1337" s="522">
        <v>3400</v>
      </c>
      <c r="D1337" s="522">
        <v>6900</v>
      </c>
      <c r="E1337" s="523">
        <f>SUMIFS('Accounting data'!$G$2:$G$37000,'Accounting data'!$I$2:$I$37000,"7*",'Accounting data'!$J$2:$J$37000,"34*",'Accounting data'!$K$2:$K$37000,"69*")+SUMIFS('Accounting data'!$G$2:$G$37000,'Accounting data'!$I$2:$I$37000,"8*",'Accounting data'!$J$2:$J$37000,"34*",'Accounting data'!$K$2:$K$37000,"69*")+SUMIFS('Accounting data'!$G$2:$G$37000,'Accounting data'!$I$2:$I$37000,"9*",'Accounting data'!$J$2:$J$37000,"34*",'Accounting data'!$K$2:$K$37000,"69*")</f>
        <v>0</v>
      </c>
    </row>
    <row r="1338" spans="1:5" x14ac:dyDescent="0.2">
      <c r="A1338" s="522" t="s">
        <v>991</v>
      </c>
      <c r="B1338" s="522" t="s">
        <v>993</v>
      </c>
      <c r="C1338" s="522">
        <v>3400</v>
      </c>
      <c r="D1338" s="531">
        <v>6700</v>
      </c>
      <c r="E1338" s="523">
        <f>SUMIFS('Accounting data'!$G$2:$G$37000,'Accounting data'!$I$2:$I$37000,"7*",'Accounting data'!$J$2:$J$37000,"34*",'Accounting data'!$K$2:$K$37000,"67*")+SUMIFS('Accounting data'!$G$2:$G$37000,'Accounting data'!$I$2:$I$37000,"8*",'Accounting data'!$J$2:$J$37000,"34*",'Accounting data'!$K$2:$K$37000,"67*")+SUMIFS('Accounting data'!$G$2:$G$37000,'Accounting data'!$I$2:$I$37000,"9*",'Accounting data'!$J$2:$J$37000,"34*",'Accounting data'!$K$2:$K$37000,"67*")</f>
        <v>0</v>
      </c>
    </row>
    <row r="1339" spans="1:5" x14ac:dyDescent="0.2">
      <c r="A1339" s="524" t="s">
        <v>992</v>
      </c>
      <c r="B1339" s="522" t="s">
        <v>993</v>
      </c>
      <c r="C1339" s="522">
        <v>3400</v>
      </c>
      <c r="D1339" s="522">
        <v>6000</v>
      </c>
      <c r="E1339" s="523">
        <f>SUMIFS('Accounting data'!$G$2:$G$37000,'Accounting data'!$H$2:$H$37000,"9999*",'Accounting data'!$I$2:$I$37000,"7*",'Accounting data'!$J$2:$J$37000,"34*",'Accounting data'!$K$2:$K$37000,"6*")+SUMIFS('Accounting data'!$G$2:$G$37000,'Accounting data'!$H$2:$H$37000,"9999*",'Accounting data'!$I$2:$I$37000,"8*",'Accounting data'!$J$2:$J$37000,"34*",'Accounting data'!$K$2:$K$37000,"6*")+SUMIFS('Accounting data'!$G$2:$G$37000,'Accounting data'!$H$2:$H$37000,"9999*",'Accounting data'!$I$2:$I$37000,"9*",'Accounting data'!$J$2:$J$37000,"34*",'Accounting data'!$K$2:$K$37000,"6*")</f>
        <v>0</v>
      </c>
    </row>
    <row r="1340" spans="1:5" x14ac:dyDescent="0.2">
      <c r="A1340" s="522"/>
      <c r="B1340" s="522"/>
      <c r="C1340" s="522"/>
      <c r="D1340" s="522"/>
      <c r="E1340" s="523"/>
    </row>
    <row r="1341" spans="1:5" x14ac:dyDescent="0.2">
      <c r="A1341" s="524" t="s">
        <v>992</v>
      </c>
      <c r="B1341" s="522" t="s">
        <v>993</v>
      </c>
      <c r="C1341" s="522">
        <v>3400</v>
      </c>
      <c r="D1341" s="522">
        <v>6900</v>
      </c>
      <c r="E1341" s="523">
        <f>SUMIFS('Accounting data'!$G$2:$G$37000,'Accounting data'!$H$2:$H$37000,"9999*",'Accounting data'!$I$2:$I$37000,"7*",'Accounting data'!$J$2:$J$37000,"34*",'Accounting data'!$K$2:$K$37000,"69*")+SUMIFS('Accounting data'!$G$2:$G$37000,'Accounting data'!$H$2:$H$37000,"9999*",'Accounting data'!$I$2:$I$37000,"8*",'Accounting data'!$J$2:$J$37000,"34*",'Accounting data'!$K$2:$K$37000,"69*")+SUMIFS('Accounting data'!$G$2:$G$37000,'Accounting data'!$H$2:$H$37000,"9999*",'Accounting data'!$I$2:$I$37000,"9*",'Accounting data'!$J$2:$J$37000,"34*",'Accounting data'!$K$2:$K$37000,"69*")</f>
        <v>0</v>
      </c>
    </row>
    <row r="1342" spans="1:5" x14ac:dyDescent="0.2">
      <c r="A1342" s="522"/>
      <c r="B1342" s="522"/>
      <c r="C1342" s="522"/>
      <c r="D1342" s="522"/>
      <c r="E1342" s="523"/>
    </row>
    <row r="1343" spans="1:5" x14ac:dyDescent="0.2">
      <c r="A1343" s="524" t="s">
        <v>992</v>
      </c>
      <c r="B1343" s="522" t="s">
        <v>993</v>
      </c>
      <c r="C1343" s="522">
        <v>3400</v>
      </c>
      <c r="D1343" s="531">
        <v>6700</v>
      </c>
      <c r="E1343" s="523">
        <f>SUMIFS('Accounting data'!$G$2:$G$37000,'Accounting data'!$H$2:$H$37000,"9999*",'Accounting data'!$I$2:$I$37000,"7*",'Accounting data'!$J$2:$J$37000,"34*",'Accounting data'!$K$2:$K$37000,"67*")+SUMIFS('Accounting data'!$G$2:$G$37000,'Accounting data'!$H$2:$H$37000,"9999*",'Accounting data'!$I$2:$I$37000,"8*",'Accounting data'!$J$2:$J$37000,"34*",'Accounting data'!$K$2:$K$37000,"67*")+SUMIFS('Accounting data'!$G$2:$G$37000,'Accounting data'!$H$2:$H$37000,"9999*",'Accounting data'!$I$2:$I$37000,"9*",'Accounting data'!$J$2:$J$37000,"34*",'Accounting data'!$K$2:$K$37000,"67*")</f>
        <v>0</v>
      </c>
    </row>
    <row r="1346" spans="1:5" x14ac:dyDescent="0.2">
      <c r="A1346" s="525" t="s">
        <v>1098</v>
      </c>
      <c r="B1346" s="525"/>
      <c r="C1346" s="525"/>
      <c r="D1346" s="525"/>
      <c r="E1346" s="527">
        <f>(E1336-E1337-E1338)-((E1339+E1340)-(E1341+E1342))-(E1343+E1344+E1345)</f>
        <v>0</v>
      </c>
    </row>
    <row r="1347" spans="1:5" x14ac:dyDescent="0.2">
      <c r="A1347" s="522" t="s">
        <v>991</v>
      </c>
      <c r="B1347" s="522" t="s">
        <v>993</v>
      </c>
      <c r="C1347" s="522">
        <v>4000</v>
      </c>
      <c r="D1347" s="522">
        <v>6000</v>
      </c>
      <c r="E1347" s="523">
        <f>SUMIFS('Accounting data'!$G$2:$G$37000,'Accounting data'!$I$2:$I$37000,"7*",'Accounting data'!$J$2:$J$37000,"4*",'Accounting data'!$K$2:$K$37000,"6*")+SUMIFS('Accounting data'!$G$2:$G$37000,'Accounting data'!$I$2:$I$37000,"8*",'Accounting data'!$J$2:$J$37000,"4*",'Accounting data'!$K$2:$K$37000,"6*")+SUMIFS('Accounting data'!$G$2:$G$37000,'Accounting data'!$I$2:$I$37000,"9*",'Accounting data'!$J$2:$J$37000,"4*",'Accounting data'!$K$2:$K$37000,"6*")</f>
        <v>0</v>
      </c>
    </row>
    <row r="1348" spans="1:5" x14ac:dyDescent="0.2">
      <c r="A1348" s="522" t="s">
        <v>991</v>
      </c>
      <c r="B1348" s="522" t="s">
        <v>993</v>
      </c>
      <c r="C1348" s="522">
        <v>4000</v>
      </c>
      <c r="D1348" s="522">
        <v>6900</v>
      </c>
      <c r="E1348" s="523">
        <f>SUMIFS('Accounting data'!$G$2:$G$37000,'Accounting data'!$I$2:$I$37000,"7*",'Accounting data'!$J$2:$J$37000,"4*",'Accounting data'!$K$2:$K$37000,"69*")+SUMIFS('Accounting data'!$G$2:$G$37000,'Accounting data'!$I$2:$I$37000,"8*",'Accounting data'!$J$2:$J$37000,"4*",'Accounting data'!$K$2:$K$37000,"69*")+SUMIFS('Accounting data'!$G$2:$G$37000,'Accounting data'!$I$2:$I$37000,"9*",'Accounting data'!$J$2:$J$37000,"4*",'Accounting data'!$K$2:$K$37000,"69*")</f>
        <v>0</v>
      </c>
    </row>
    <row r="1349" spans="1:5" x14ac:dyDescent="0.2">
      <c r="A1349" s="522" t="s">
        <v>991</v>
      </c>
      <c r="B1349" s="522" t="s">
        <v>993</v>
      </c>
      <c r="C1349" s="522">
        <v>4000</v>
      </c>
      <c r="D1349" s="531">
        <v>6700</v>
      </c>
      <c r="E1349" s="523">
        <f>SUMIFS('Accounting data'!$G$2:$G$37000,'Accounting data'!$I$2:$I$37000,"7*",'Accounting data'!$J$2:$J$37000,"4*",'Accounting data'!$K$2:$K$37000,"67*")+SUMIFS('Accounting data'!$G$2:$G$37000,'Accounting data'!$I$2:$I$37000,"8*",'Accounting data'!$J$2:$J$37000,"4*",'Accounting data'!$K$2:$K$37000,"67*")+SUMIFS('Accounting data'!$G$2:$G$37000,'Accounting data'!$I$2:$I$37000,"9*",'Accounting data'!$J$2:$J$37000,"4*",'Accounting data'!$K$2:$K$37000,"67*")</f>
        <v>0</v>
      </c>
    </row>
    <row r="1350" spans="1:5" x14ac:dyDescent="0.2">
      <c r="A1350" s="524" t="s">
        <v>992</v>
      </c>
      <c r="B1350" s="522" t="s">
        <v>993</v>
      </c>
      <c r="C1350" s="522">
        <v>4000</v>
      </c>
      <c r="D1350" s="522">
        <v>6000</v>
      </c>
      <c r="E1350" s="523">
        <f>SUMIFS('Accounting data'!$G$2:$G$37000,'Accounting data'!$H$2:$H$37000,"9999*",'Accounting data'!$I$2:$I$37000,"7*",'Accounting data'!$J$2:$J$37000,"4*",'Accounting data'!$K$2:$K$37000,"6*")+SUMIFS('Accounting data'!$G$2:$G$37000,'Accounting data'!$H$2:$H$37000,"9999*",'Accounting data'!$I$2:$I$37000,"8*",'Accounting data'!$J$2:$J$37000,"4*",'Accounting data'!$K$2:$K$37000,"6*")+SUMIFS('Accounting data'!$G$2:$G$37000,'Accounting data'!$H$2:$H$37000,"9999*",'Accounting data'!$I$2:$I$37000,"9*",'Accounting data'!$J$2:$J$37000,"4*",'Accounting data'!$K$2:$K$37000,"6*")</f>
        <v>0</v>
      </c>
    </row>
    <row r="1351" spans="1:5" x14ac:dyDescent="0.2">
      <c r="A1351" s="522"/>
      <c r="B1351" s="522"/>
      <c r="C1351" s="522"/>
      <c r="D1351" s="522"/>
      <c r="E1351" s="523"/>
    </row>
    <row r="1352" spans="1:5" x14ac:dyDescent="0.2">
      <c r="A1352" s="524" t="s">
        <v>992</v>
      </c>
      <c r="B1352" s="522" t="s">
        <v>993</v>
      </c>
      <c r="C1352" s="522">
        <v>4000</v>
      </c>
      <c r="D1352" s="522">
        <v>6900</v>
      </c>
      <c r="E1352" s="523">
        <f>SUMIFS('Accounting data'!$G$2:$G$37000,'Accounting data'!$H$2:$H$37000,"9999*",'Accounting data'!$I$2:$I$37000,"7*",'Accounting data'!$J$2:$J$37000,"4*",'Accounting data'!$K$2:$K$37000,"69*")+SUMIFS('Accounting data'!$G$2:$G$37000,'Accounting data'!$H$2:$H$37000,"9999*",'Accounting data'!$I$2:$I$37000,"8*",'Accounting data'!$J$2:$J$37000,"4*",'Accounting data'!$K$2:$K$37000,"69*")+SUMIFS('Accounting data'!$G$2:$G$37000,'Accounting data'!$H$2:$H$37000,"9999*",'Accounting data'!$I$2:$I$37000,"9*",'Accounting data'!$J$2:$J$37000,"4*",'Accounting data'!$K$2:$K$37000,"69*")</f>
        <v>0</v>
      </c>
    </row>
    <row r="1353" spans="1:5" x14ac:dyDescent="0.2">
      <c r="A1353" s="522"/>
      <c r="B1353" s="522"/>
      <c r="C1353" s="522"/>
      <c r="D1353" s="522"/>
      <c r="E1353" s="523"/>
    </row>
    <row r="1354" spans="1:5" x14ac:dyDescent="0.2">
      <c r="A1354" s="524" t="s">
        <v>992</v>
      </c>
      <c r="B1354" s="522" t="s">
        <v>993</v>
      </c>
      <c r="C1354" s="522">
        <v>4000</v>
      </c>
      <c r="D1354" s="531">
        <v>6700</v>
      </c>
      <c r="E1354" s="523">
        <f>SUMIFS('Accounting data'!$G$2:$G$37000,'Accounting data'!$H$2:$H$37000,"9999*",'Accounting data'!$I$2:$I$37000,"7*",'Accounting data'!$J$2:$J$37000,"4*",'Accounting data'!$K$2:$K$37000,"67*")+SUMIFS('Accounting data'!$G$2:$G$37000,'Accounting data'!$H$2:$H$37000,"9999*",'Accounting data'!$I$2:$I$37000,"8*",'Accounting data'!$J$2:$J$37000,"4*",'Accounting data'!$K$2:$K$37000,"67*")+SUMIFS('Accounting data'!$G$2:$G$37000,'Accounting data'!$H$2:$H$37000,"9999*",'Accounting data'!$I$2:$I$37000,"9*",'Accounting data'!$J$2:$J$37000,"4*",'Accounting data'!$K$2:$K$37000,"67*")</f>
        <v>0</v>
      </c>
    </row>
    <row r="1355" spans="1:5" x14ac:dyDescent="0.2">
      <c r="A1355" s="524"/>
      <c r="B1355" s="522"/>
      <c r="C1355" s="522"/>
      <c r="D1355" s="531"/>
      <c r="E1355" s="523"/>
    </row>
    <row r="1356" spans="1:5" x14ac:dyDescent="0.2">
      <c r="A1356" s="524"/>
      <c r="B1356" s="522"/>
      <c r="C1356" s="522"/>
      <c r="D1356" s="531"/>
      <c r="E1356" s="523"/>
    </row>
    <row r="1357" spans="1:5" x14ac:dyDescent="0.2">
      <c r="A1357" s="525" t="s">
        <v>1099</v>
      </c>
      <c r="B1357" s="525"/>
      <c r="C1357" s="525"/>
      <c r="D1357" s="525"/>
      <c r="E1357" s="527">
        <f>(E1347-E1348-E1349)-((E1350+E1351)-(E1352+E1353))-(E1354+E1355+E1356)</f>
        <v>0</v>
      </c>
    </row>
    <row r="1358" spans="1:5" x14ac:dyDescent="0.2">
      <c r="A1358" s="522" t="s">
        <v>991</v>
      </c>
      <c r="B1358" s="522" t="s">
        <v>993</v>
      </c>
      <c r="C1358" s="522">
        <v>5000</v>
      </c>
      <c r="D1358" s="522">
        <v>6000</v>
      </c>
      <c r="E1358" s="523">
        <f>SUMIFS('Accounting data'!$G$2:$G$37000,'Accounting data'!$I$2:$I$37000,"7*",'Accounting data'!$J$2:$J$37000,"5*",'Accounting data'!$K$2:$K$37000,"6*")+SUMIFS('Accounting data'!$G$2:$G$37000,'Accounting data'!$I$2:$I$37000,"8*",'Accounting data'!$J$2:$J$37000,"5*",'Accounting data'!$K$2:$K$37000,"6*")+SUMIFS('Accounting data'!$G$2:$G$37000,'Accounting data'!$I$2:$I$37000,"9*",'Accounting data'!$J$2:$J$37000,"5*",'Accounting data'!$K$2:$K$37000,"6*")</f>
        <v>0</v>
      </c>
    </row>
    <row r="1359" spans="1:5" x14ac:dyDescent="0.2">
      <c r="A1359" s="522" t="s">
        <v>991</v>
      </c>
      <c r="B1359" s="522" t="s">
        <v>993</v>
      </c>
      <c r="C1359" s="522">
        <v>5000</v>
      </c>
      <c r="D1359" s="522">
        <v>6900</v>
      </c>
      <c r="E1359" s="523">
        <f>SUMIFS('Accounting data'!$G$2:$G$37000,'Accounting data'!$I$2:$I$37000,"7*",'Accounting data'!$J$2:$J$37000,"5*",'Accounting data'!$K$2:$K$37000,"69*")+SUMIFS('Accounting data'!$G$2:$G$37000,'Accounting data'!$I$2:$I$37000,"8*",'Accounting data'!$J$2:$J$37000,"5*",'Accounting data'!$K$2:$K$37000,"69*")+SUMIFS('Accounting data'!$G$2:$G$37000,'Accounting data'!$I$2:$I$37000,"9*",'Accounting data'!$J$2:$J$37000,"5*",'Accounting data'!$K$2:$K$37000,"69*")</f>
        <v>0</v>
      </c>
    </row>
    <row r="1360" spans="1:5" x14ac:dyDescent="0.2">
      <c r="A1360" s="522" t="s">
        <v>991</v>
      </c>
      <c r="B1360" s="522" t="s">
        <v>993</v>
      </c>
      <c r="C1360" s="522">
        <v>5000</v>
      </c>
      <c r="D1360" s="531">
        <v>6700</v>
      </c>
      <c r="E1360" s="523">
        <f>SUMIFS('Accounting data'!$G$2:$G$37000,'Accounting data'!$I$2:$I$37000,"7*",'Accounting data'!$J$2:$J$37000,"5*",'Accounting data'!$K$2:$K$37000,"67*")+SUMIFS('Accounting data'!$G$2:$G$37000,'Accounting data'!$I$2:$I$37000,"8*",'Accounting data'!$J$2:$J$37000,"5*",'Accounting data'!$K$2:$K$37000,"67*")+SUMIFS('Accounting data'!$G$2:$G$37000,'Accounting data'!$I$2:$I$37000,"9*",'Accounting data'!$J$2:$J$37000,"5*",'Accounting data'!$K$2:$K$37000,"67*")</f>
        <v>0</v>
      </c>
    </row>
    <row r="1361" spans="1:5" x14ac:dyDescent="0.2">
      <c r="A1361" s="524" t="s">
        <v>992</v>
      </c>
      <c r="B1361" s="522" t="s">
        <v>993</v>
      </c>
      <c r="C1361" s="522">
        <v>5000</v>
      </c>
      <c r="D1361" s="522">
        <v>6000</v>
      </c>
      <c r="E1361" s="523">
        <f>SUMIFS('Accounting data'!$G$2:$G$37000,'Accounting data'!$H$2:$H$37000,"9999*",'Accounting data'!$I$2:$I$37000,"7*",'Accounting data'!$J$2:$J$37000,"5*",'Accounting data'!$K$2:$K$37000,"6*")+SUMIFS('Accounting data'!$G$2:$G$37000,'Accounting data'!$H$2:$H$37000,"9999*",'Accounting data'!$I$2:$I$37000,"8*",'Accounting data'!$J$2:$J$37000,"5*",'Accounting data'!$K$2:$K$37000,"6*")+SUMIFS('Accounting data'!$G$2:$G$37000,'Accounting data'!$H$2:$H$37000,"9999*",'Accounting data'!$I$2:$I$37000,"9*",'Accounting data'!$J$2:$J$37000,"5*",'Accounting data'!$K$2:$K$37000,"6*")</f>
        <v>0</v>
      </c>
    </row>
    <row r="1362" spans="1:5" x14ac:dyDescent="0.2">
      <c r="A1362" s="522"/>
      <c r="B1362" s="522"/>
      <c r="C1362" s="522"/>
      <c r="D1362" s="522"/>
      <c r="E1362" s="523"/>
    </row>
    <row r="1363" spans="1:5" x14ac:dyDescent="0.2">
      <c r="A1363" s="524" t="s">
        <v>992</v>
      </c>
      <c r="B1363" s="522" t="s">
        <v>993</v>
      </c>
      <c r="C1363" s="522">
        <v>5000</v>
      </c>
      <c r="D1363" s="522">
        <v>6900</v>
      </c>
      <c r="E1363" s="523">
        <f>SUMIFS('Accounting data'!$G$2:$G$37000,'Accounting data'!$H$2:$H$37000,"9999*",'Accounting data'!$I$2:$I$37000,"7*",'Accounting data'!$J$2:$J$37000,"5*",'Accounting data'!$K$2:$K$37000,"69*")+SUMIFS('Accounting data'!$G$2:$G$37000,'Accounting data'!$H$2:$H$37000,"9999*",'Accounting data'!$I$2:$I$37000,"8*",'Accounting data'!$J$2:$J$37000,"5*",'Accounting data'!$K$2:$K$37000,"69*")+SUMIFS('Accounting data'!$G$2:$G$37000,'Accounting data'!$H$2:$H$37000,"9999*",'Accounting data'!$I$2:$I$37000,"9*",'Accounting data'!$J$2:$J$37000,"5*",'Accounting data'!$K$2:$K$37000,"69*")</f>
        <v>0</v>
      </c>
    </row>
    <row r="1364" spans="1:5" x14ac:dyDescent="0.2">
      <c r="A1364" s="522"/>
      <c r="B1364" s="522"/>
      <c r="C1364" s="522"/>
      <c r="D1364" s="522"/>
      <c r="E1364" s="523"/>
    </row>
    <row r="1365" spans="1:5" x14ac:dyDescent="0.2">
      <c r="A1365" s="524" t="s">
        <v>992</v>
      </c>
      <c r="B1365" s="522" t="s">
        <v>993</v>
      </c>
      <c r="C1365" s="522">
        <v>5000</v>
      </c>
      <c r="D1365" s="531">
        <v>6700</v>
      </c>
      <c r="E1365" s="523">
        <f>SUMIFS('Accounting data'!$G$2:$G$37000,'Accounting data'!$H$2:$H$37000,"9999*",'Accounting data'!$I$2:$I$37000,"7*",'Accounting data'!$J$2:$J$37000,"5*",'Accounting data'!$K$2:$K$37000,"67*")+SUMIFS('Accounting data'!$G$2:$G$37000,'Accounting data'!$H$2:$H$37000,"9999*",'Accounting data'!$I$2:$I$37000,"8*",'Accounting data'!$J$2:$J$37000,"5*",'Accounting data'!$K$2:$K$37000,"67*")+SUMIFS('Accounting data'!$G$2:$G$37000,'Accounting data'!$H$2:$H$37000,"9999*",'Accounting data'!$I$2:$I$37000,"9*",'Accounting data'!$J$2:$J$37000,"5*",'Accounting data'!$K$2:$K$37000,"67*")</f>
        <v>0</v>
      </c>
    </row>
    <row r="1366" spans="1:5" x14ac:dyDescent="0.2">
      <c r="A1366" s="524"/>
      <c r="B1366" s="522"/>
      <c r="C1366" s="522"/>
      <c r="D1366" s="531"/>
      <c r="E1366" s="523"/>
    </row>
    <row r="1367" spans="1:5" x14ac:dyDescent="0.2">
      <c r="A1367" s="524"/>
      <c r="B1367" s="522"/>
      <c r="C1367" s="522"/>
      <c r="D1367" s="531"/>
      <c r="E1367" s="523"/>
    </row>
    <row r="1368" spans="1:5" x14ac:dyDescent="0.2">
      <c r="A1368" s="525" t="s">
        <v>1100</v>
      </c>
      <c r="B1368" s="525"/>
      <c r="C1368" s="525"/>
      <c r="D1368" s="525"/>
      <c r="E1368" s="527">
        <f>(E1358-E1359-E1360)-((E1361+E1362)-(E1363+E1364))-(E1365+E1366+E1367)</f>
        <v>0</v>
      </c>
    </row>
    <row r="1369" spans="1:5" x14ac:dyDescent="0.2">
      <c r="A1369" s="528" t="s">
        <v>1101</v>
      </c>
      <c r="B1369" s="528"/>
      <c r="C1369" s="528"/>
      <c r="D1369" s="528"/>
      <c r="E1369" s="532">
        <f>E1225+E1236+E1247+E1258+E1269+E1280+E1291+E1302+E1313+E1324+E1335+E1346</f>
        <v>0</v>
      </c>
    </row>
    <row r="1370" spans="1:5" x14ac:dyDescent="0.2">
      <c r="A1370" s="524" t="s">
        <v>1007</v>
      </c>
      <c r="B1370" s="524">
        <v>700</v>
      </c>
      <c r="C1370" s="531">
        <v>1000</v>
      </c>
      <c r="D1370" s="522">
        <v>6000</v>
      </c>
      <c r="E1370" s="523">
        <f>SUMIFS('Accounting data'!$G$2:$G$37000,'Accounting data'!$H$2:$H$37000,"11*",'Accounting data'!$I$2:$I$37000,"7*",'Accounting data'!$J$2:$J$37000,"1*",'Accounting data'!$K$2:$K$37000,"6*")+SUMIFS('Accounting data'!$G$2:$G$37000,'Accounting data'!$H$2:$H$37000,"12*",'Accounting data'!$I$2:$I$37000,"7*",'Accounting data'!$J$2:$J$37000,"1*",'Accounting data'!$K$2:$K$37000,"6*")+SUMIFS('Accounting data'!$G$2:$G$37000,'Accounting data'!$H$2:$H$37000,"13*",'Accounting data'!$I$2:$I$37000,"7*",'Accounting data'!$J$2:$J$37000,"1*",'Accounting data'!$K$2:$K$37000,"6*")</f>
        <v>0</v>
      </c>
    </row>
    <row r="1371" spans="1:5" x14ac:dyDescent="0.2">
      <c r="A1371" s="524" t="s">
        <v>1007</v>
      </c>
      <c r="B1371" s="524">
        <v>800</v>
      </c>
      <c r="C1371" s="531">
        <v>1000</v>
      </c>
      <c r="D1371" s="522">
        <v>6000</v>
      </c>
      <c r="E1371" s="523">
        <f>SUMIFS('Accounting data'!$G$2:$G$37000,'Accounting data'!$H$2:$H$37000,"11*",'Accounting data'!$I$2:$I$37000,"8*",'Accounting data'!$J$2:$J$37000,"1*",'Accounting data'!$K$2:$K$37000,"6*")+SUMIFS('Accounting data'!$G$2:$G$37000,'Accounting data'!$H$2:$H$37000,"12*",'Accounting data'!$I$2:$I$37000,"8*",'Accounting data'!$J$2:$J$37000,"1*",'Accounting data'!$K$2:$K$37000,"6*")+SUMIFS('Accounting data'!$G$2:$G$37000,'Accounting data'!$H$2:$H$37000,"13*",'Accounting data'!$I$2:$I$37000,"8*",'Accounting data'!$J$2:$J$37000,"1*",'Accounting data'!$K$2:$K$37000,"6*")</f>
        <v>0</v>
      </c>
    </row>
    <row r="1372" spans="1:5" x14ac:dyDescent="0.2">
      <c r="A1372" s="524" t="s">
        <v>1007</v>
      </c>
      <c r="B1372" s="524">
        <v>900</v>
      </c>
      <c r="C1372" s="531">
        <v>1000</v>
      </c>
      <c r="D1372" s="522">
        <v>6000</v>
      </c>
      <c r="E1372" s="523">
        <f>SUMIFS('Accounting data'!$G$2:$G$37000,'Accounting data'!$H$2:$H$37000,"11*",'Accounting data'!$I$2:$I$37000,"9*",'Accounting data'!$J$2:$J$37000,"1*",'Accounting data'!$K$2:$K$37000,"6*")+SUMIFS('Accounting data'!$G$2:$G$37000,'Accounting data'!$H$2:$H$37000,"12*",'Accounting data'!$I$2:$I$37000,"9*",'Accounting data'!$J$2:$J$37000,"1*",'Accounting data'!$K$2:$K$37000,"6*")+SUMIFS('Accounting data'!$G$2:$G$37000,'Accounting data'!$H$2:$H$37000,"13*",'Accounting data'!$I$2:$I$37000,"9*",'Accounting data'!$J$2:$J$37000,"1*",'Accounting data'!$K$2:$K$37000,"6*")</f>
        <v>0</v>
      </c>
    </row>
    <row r="1373" spans="1:5" x14ac:dyDescent="0.2">
      <c r="A1373" s="524" t="s">
        <v>1007</v>
      </c>
      <c r="B1373" s="524">
        <v>700</v>
      </c>
      <c r="C1373" s="531">
        <v>2000</v>
      </c>
      <c r="D1373" s="522">
        <v>6000</v>
      </c>
      <c r="E1373" s="523">
        <f>SUMIFS('Accounting data'!$G$2:$G$37000,'Accounting data'!$H$2:$H$37000,"11*",'Accounting data'!$I$2:$I$37000,"7*",'Accounting data'!$J$2:$J$37000,"2*",'Accounting data'!$K$2:$K$37000,"6*")+SUMIFS('Accounting data'!$G$2:$G$37000,'Accounting data'!$H$2:$H$37000,"12*",'Accounting data'!$I$2:$I$37000,"7*",'Accounting data'!$J$2:$J$37000,"2*",'Accounting data'!$K$2:$K$37000,"6*")+SUMIFS('Accounting data'!$G$2:$G$37000,'Accounting data'!$H$2:$H$37000,"13*",'Accounting data'!$I$2:$I$37000,"7*",'Accounting data'!$J$2:$J$37000,"2*",'Accounting data'!$K$2:$K$37000,"6*")</f>
        <v>0</v>
      </c>
    </row>
    <row r="1374" spans="1:5" x14ac:dyDescent="0.2">
      <c r="A1374" s="524" t="s">
        <v>1007</v>
      </c>
      <c r="B1374" s="524">
        <v>800</v>
      </c>
      <c r="C1374" s="531">
        <v>2000</v>
      </c>
      <c r="D1374" s="522">
        <v>6000</v>
      </c>
      <c r="E1374" s="523">
        <f>SUMIFS('Accounting data'!$G$2:$G$37000,'Accounting data'!$H$2:$H$37000,"11*",'Accounting data'!$I$2:$I$37000,"8*",'Accounting data'!$J$2:$J$37000,"2*",'Accounting data'!$K$2:$K$37000,"6*")+SUMIFS('Accounting data'!$G$2:$G$37000,'Accounting data'!$H$2:$H$37000,"12*",'Accounting data'!$I$2:$I$37000,"8*",'Accounting data'!$J$2:$J$37000,"2*",'Accounting data'!$K$2:$K$37000,"6*")+SUMIFS('Accounting data'!$G$2:$G$37000,'Accounting data'!$H$2:$H$37000,"13*",'Accounting data'!$I$2:$I$37000,"8*",'Accounting data'!$J$2:$J$37000,"2*",'Accounting data'!$K$2:$K$37000,"6*")</f>
        <v>0</v>
      </c>
    </row>
    <row r="1375" spans="1:5" x14ac:dyDescent="0.2">
      <c r="A1375" s="524" t="s">
        <v>1007</v>
      </c>
      <c r="B1375" s="524">
        <v>900</v>
      </c>
      <c r="C1375" s="531">
        <v>2000</v>
      </c>
      <c r="D1375" s="522">
        <v>6000</v>
      </c>
      <c r="E1375" s="523">
        <f>SUMIFS('Accounting data'!$G$2:$G$37000,'Accounting data'!$H$2:$H$37000,"11*",'Accounting data'!$I$2:$I$37000,"9*",'Accounting data'!$J$2:$J$37000,"2*",'Accounting data'!$K$2:$K$37000,"6*")+SUMIFS('Accounting data'!$G$2:$G$37000,'Accounting data'!$H$2:$H$37000,"12*",'Accounting data'!$I$2:$I$37000,"9*",'Accounting data'!$J$2:$J$37000,"2*",'Accounting data'!$K$2:$K$37000,"6*")+SUMIFS('Accounting data'!$G$2:$G$37000,'Accounting data'!$H$2:$H$37000,"13*",'Accounting data'!$I$2:$I$37000,"9*",'Accounting data'!$J$2:$J$37000,"2*",'Accounting data'!$K$2:$K$37000,"6*")</f>
        <v>0</v>
      </c>
    </row>
    <row r="1376" spans="1:5" x14ac:dyDescent="0.2">
      <c r="A1376" s="524" t="s">
        <v>1007</v>
      </c>
      <c r="B1376" s="524">
        <v>700</v>
      </c>
      <c r="C1376" s="531">
        <v>3000</v>
      </c>
      <c r="D1376" s="522">
        <v>6000</v>
      </c>
      <c r="E1376" s="523">
        <f>SUMIFS('Accounting data'!$G$2:$G$37000,'Accounting data'!$H$2:$H$37000,"11*",'Accounting data'!$I$2:$I$37000,"7*",'Accounting data'!$J$2:$J$37000,"3*",'Accounting data'!$K$2:$K$37000,"6*")+SUMIFS('Accounting data'!$G$2:$G$37000,'Accounting data'!$H$2:$H$37000,"12*",'Accounting data'!$I$2:$I$37000,"7*",'Accounting data'!$J$2:$J$37000,"3*",'Accounting data'!$K$2:$K$37000,"6*")+SUMIFS('Accounting data'!$G$2:$G$37000,'Accounting data'!$H$2:$H$37000,"13*",'Accounting data'!$I$2:$I$37000,"7*",'Accounting data'!$J$2:$J$37000,"3*",'Accounting data'!$K$2:$K$37000,"6*")</f>
        <v>0</v>
      </c>
    </row>
    <row r="1377" spans="1:5" x14ac:dyDescent="0.2">
      <c r="A1377" s="524" t="s">
        <v>1007</v>
      </c>
      <c r="B1377" s="524">
        <v>800</v>
      </c>
      <c r="C1377" s="531">
        <v>3000</v>
      </c>
      <c r="D1377" s="522">
        <v>6000</v>
      </c>
      <c r="E1377" s="523">
        <f>SUMIFS('Accounting data'!$G$2:$G$37000,'Accounting data'!$H$2:$H$37000,"11*",'Accounting data'!$I$2:$I$37000,"8*",'Accounting data'!$J$2:$J$37000,"3*",'Accounting data'!$K$2:$K$37000,"6*")+SUMIFS('Accounting data'!$G$2:$G$37000,'Accounting data'!$H$2:$H$37000,"12*",'Accounting data'!$I$2:$I$37000,"8*",'Accounting data'!$J$2:$J$37000,"3*",'Accounting data'!$K$2:$K$37000,"6*")+SUMIFS('Accounting data'!$G$2:$G$37000,'Accounting data'!$H$2:$H$37000,"13*",'Accounting data'!$I$2:$I$37000,"8*",'Accounting data'!$J$2:$J$37000,"3*",'Accounting data'!$K$2:$K$37000,"6*")</f>
        <v>0</v>
      </c>
    </row>
    <row r="1378" spans="1:5" x14ac:dyDescent="0.2">
      <c r="A1378" s="524" t="s">
        <v>1007</v>
      </c>
      <c r="B1378" s="524">
        <v>900</v>
      </c>
      <c r="C1378" s="531">
        <v>3000</v>
      </c>
      <c r="D1378" s="522">
        <v>6000</v>
      </c>
      <c r="E1378" s="523">
        <f>SUMIFS('Accounting data'!$G$2:$G$37000,'Accounting data'!$H$2:$H$37000,"11*",'Accounting data'!$I$2:$I$37000,"9*",'Accounting data'!$J$2:$J$37000,"3*",'Accounting data'!$K$2:$K$37000,"6*")+SUMIFS('Accounting data'!$G$2:$G$37000,'Accounting data'!$H$2:$H$37000,"12*",'Accounting data'!$I$2:$I$37000,"9*",'Accounting data'!$J$2:$J$37000,"3*",'Accounting data'!$K$2:$K$37000,"6*")+SUMIFS('Accounting data'!$G$2:$G$37000,'Accounting data'!$H$2:$H$37000,"13*",'Accounting data'!$I$2:$I$37000,"9*",'Accounting data'!$J$2:$J$37000,"3*",'Accounting data'!$K$2:$K$37000,"6*")</f>
        <v>0</v>
      </c>
    </row>
    <row r="1379" spans="1:5" x14ac:dyDescent="0.2">
      <c r="A1379" s="524" t="s">
        <v>1007</v>
      </c>
      <c r="B1379" s="524">
        <v>700</v>
      </c>
      <c r="C1379" s="531">
        <v>1000</v>
      </c>
      <c r="D1379" s="522">
        <v>6900</v>
      </c>
      <c r="E1379" s="523">
        <f>SUMIFS('Accounting data'!$G$2:$G$37000,'Accounting data'!$H$2:$H$37000,"11*",'Accounting data'!$I$2:$I$37000,"7*",'Accounting data'!$J$2:$J$37000,"1*",'Accounting data'!$K$2:$K$37000,"69*")+SUMIFS('Accounting data'!$G$2:$G$37000,'Accounting data'!$H$2:$H$37000,"12*",'Accounting data'!$I$2:$I$37000,"7*",'Accounting data'!$J$2:$J$37000,"1*",'Accounting data'!$K$2:$K$37000,"69*")+SUMIFS('Accounting data'!$G$2:$G$37000,'Accounting data'!$H$2:$H$37000,"13*",'Accounting data'!$I$2:$I$37000,"7*",'Accounting data'!$J$2:$J$37000,"1*",'Accounting data'!$K$2:$K$37000,"69*")</f>
        <v>0</v>
      </c>
    </row>
    <row r="1380" spans="1:5" x14ac:dyDescent="0.2">
      <c r="A1380" s="524" t="s">
        <v>1007</v>
      </c>
      <c r="B1380" s="524">
        <v>800</v>
      </c>
      <c r="C1380" s="531">
        <v>1000</v>
      </c>
      <c r="D1380" s="522">
        <v>6900</v>
      </c>
      <c r="E1380" s="523">
        <f>SUMIFS('Accounting data'!$G$2:$G$37000,'Accounting data'!$H$2:$H$37000,"11*",'Accounting data'!$I$2:$I$37000,"8*",'Accounting data'!$J$2:$J$37000,"1*",'Accounting data'!$K$2:$K$37000,"69*")+SUMIFS('Accounting data'!$G$2:$G$37000,'Accounting data'!$H$2:$H$37000,"12*",'Accounting data'!$I$2:$I$37000,"8*",'Accounting data'!$J$2:$J$37000,"1*",'Accounting data'!$K$2:$K$37000,"69*")+SUMIFS('Accounting data'!$G$2:$G$37000,'Accounting data'!$H$2:$H$37000,"13*",'Accounting data'!$I$2:$I$37000,"8*",'Accounting data'!$J$2:$J$37000,"1*",'Accounting data'!$K$2:$K$37000,"69*")</f>
        <v>0</v>
      </c>
    </row>
    <row r="1381" spans="1:5" x14ac:dyDescent="0.2">
      <c r="A1381" s="524" t="s">
        <v>1007</v>
      </c>
      <c r="B1381" s="524">
        <v>900</v>
      </c>
      <c r="C1381" s="531">
        <v>1000</v>
      </c>
      <c r="D1381" s="522">
        <v>6900</v>
      </c>
      <c r="E1381" s="523">
        <f>SUMIFS('Accounting data'!$G$2:$G$37000,'Accounting data'!$H$2:$H$37000,"11*",'Accounting data'!$I$2:$I$37000,"9*",'Accounting data'!$J$2:$J$37000,"1*",'Accounting data'!$K$2:$K$37000,"69*")+SUMIFS('Accounting data'!$G$2:$G$37000,'Accounting data'!$H$2:$H$37000,"12*",'Accounting data'!$I$2:$I$37000,"9*",'Accounting data'!$J$2:$J$37000,"1*",'Accounting data'!$K$2:$K$37000,"69*")+SUMIFS('Accounting data'!$G$2:$G$37000,'Accounting data'!$H$2:$H$37000,"13*",'Accounting data'!$I$2:$I$37000,"9*",'Accounting data'!$J$2:$J$37000,"1*",'Accounting data'!$K$2:$K$37000,"69*")</f>
        <v>0</v>
      </c>
    </row>
    <row r="1382" spans="1:5" x14ac:dyDescent="0.2">
      <c r="A1382" s="524" t="s">
        <v>1007</v>
      </c>
      <c r="B1382" s="524">
        <v>700</v>
      </c>
      <c r="C1382" s="531">
        <v>2000</v>
      </c>
      <c r="D1382" s="522">
        <v>6900</v>
      </c>
      <c r="E1382" s="523">
        <f>SUMIFS('Accounting data'!$G$2:$G$37000,'Accounting data'!$H$2:$H$37000,"11*",'Accounting data'!$I$2:$I$37000,"7*",'Accounting data'!$J$2:$J$37000,"2*",'Accounting data'!$K$2:$K$37000,"69*")+SUMIFS('Accounting data'!$G$2:$G$37000,'Accounting data'!$H$2:$H$37000,"12*",'Accounting data'!$I$2:$I$37000,"7*",'Accounting data'!$J$2:$J$37000,"2*",'Accounting data'!$K$2:$K$37000,"69*")+SUMIFS('Accounting data'!$G$2:$G$37000,'Accounting data'!$H$2:$H$37000,"13*",'Accounting data'!$I$2:$I$37000,"7*",'Accounting data'!$J$2:$J$37000,"2*",'Accounting data'!$K$2:$K$37000,"69*")</f>
        <v>0</v>
      </c>
    </row>
    <row r="1383" spans="1:5" x14ac:dyDescent="0.2">
      <c r="A1383" s="524" t="s">
        <v>1007</v>
      </c>
      <c r="B1383" s="524">
        <v>800</v>
      </c>
      <c r="C1383" s="531">
        <v>2000</v>
      </c>
      <c r="D1383" s="522">
        <v>6900</v>
      </c>
      <c r="E1383" s="523">
        <f>SUMIFS('Accounting data'!$G$2:$G$37000,'Accounting data'!$H$2:$H$37000,"11*",'Accounting data'!$I$2:$I$37000,"8*",'Accounting data'!$J$2:$J$37000,"2*",'Accounting data'!$K$2:$K$37000,"69*")+SUMIFS('Accounting data'!$G$2:$G$37000,'Accounting data'!$H$2:$H$37000,"12*",'Accounting data'!$I$2:$I$37000,"8*",'Accounting data'!$J$2:$J$37000,"2*",'Accounting data'!$K$2:$K$37000,"69*")+SUMIFS('Accounting data'!$G$2:$G$37000,'Accounting data'!$H$2:$H$37000,"13*",'Accounting data'!$I$2:$I$37000,"8*",'Accounting data'!$J$2:$J$37000,"2*",'Accounting data'!$K$2:$K$37000,"69*")</f>
        <v>0</v>
      </c>
    </row>
    <row r="1384" spans="1:5" x14ac:dyDescent="0.2">
      <c r="A1384" s="524" t="s">
        <v>1007</v>
      </c>
      <c r="B1384" s="524">
        <v>900</v>
      </c>
      <c r="C1384" s="531">
        <v>2000</v>
      </c>
      <c r="D1384" s="522">
        <v>6900</v>
      </c>
      <c r="E1384" s="523">
        <f>SUMIFS('Accounting data'!$G$2:$G$37000,'Accounting data'!$H$2:$H$37000,"11*",'Accounting data'!$I$2:$I$37000,"9*",'Accounting data'!$J$2:$J$37000,"2*",'Accounting data'!$K$2:$K$37000,"69*")+SUMIFS('Accounting data'!$G$2:$G$37000,'Accounting data'!$H$2:$H$37000,"12*",'Accounting data'!$I$2:$I$37000,"9*",'Accounting data'!$J$2:$J$37000,"2*",'Accounting data'!$K$2:$K$37000,"69*")+SUMIFS('Accounting data'!$G$2:$G$37000,'Accounting data'!$H$2:$H$37000,"13*",'Accounting data'!$I$2:$I$37000,"9*",'Accounting data'!$J$2:$J$37000,"2*",'Accounting data'!$K$2:$K$37000,"69*")</f>
        <v>0</v>
      </c>
    </row>
    <row r="1385" spans="1:5" x14ac:dyDescent="0.2">
      <c r="A1385" s="524" t="s">
        <v>1007</v>
      </c>
      <c r="B1385" s="524">
        <v>700</v>
      </c>
      <c r="C1385" s="531">
        <v>3000</v>
      </c>
      <c r="D1385" s="522">
        <v>6900</v>
      </c>
      <c r="E1385" s="523">
        <f>SUMIFS('Accounting data'!$G$2:$G$37000,'Accounting data'!$H$2:$H$37000,"11*",'Accounting data'!$I$2:$I$37000,"7*",'Accounting data'!$J$2:$J$37000,"3*",'Accounting data'!$K$2:$K$37000,"69*")+SUMIFS('Accounting data'!$G$2:$G$37000,'Accounting data'!$H$2:$H$37000,"12*",'Accounting data'!$I$2:$I$37000,"7*",'Accounting data'!$J$2:$J$37000,"3*",'Accounting data'!$K$2:$K$37000,"69*")+SUMIFS('Accounting data'!$G$2:$G$37000,'Accounting data'!$H$2:$H$37000,"13*",'Accounting data'!$I$2:$I$37000,"7*",'Accounting data'!$J$2:$J$37000,"3*",'Accounting data'!$K$2:$K$37000,"69*")</f>
        <v>0</v>
      </c>
    </row>
    <row r="1386" spans="1:5" x14ac:dyDescent="0.2">
      <c r="A1386" s="524" t="s">
        <v>1007</v>
      </c>
      <c r="B1386" s="524">
        <v>800</v>
      </c>
      <c r="C1386" s="531">
        <v>3000</v>
      </c>
      <c r="D1386" s="522">
        <v>6900</v>
      </c>
      <c r="E1386" s="523">
        <f>SUMIFS('Accounting data'!$G$2:$G$37000,'Accounting data'!$H$2:$H$37000,"11*",'Accounting data'!$I$2:$I$37000,"8*",'Accounting data'!$J$2:$J$37000,"3*",'Accounting data'!$K$2:$K$37000,"69*")+SUMIFS('Accounting data'!$G$2:$G$37000,'Accounting data'!$H$2:$H$37000,"12*",'Accounting data'!$I$2:$I$37000,"8*",'Accounting data'!$J$2:$J$37000,"3*",'Accounting data'!$K$2:$K$37000,"69*")+SUMIFS('Accounting data'!$G$2:$G$37000,'Accounting data'!$H$2:$H$37000,"13*",'Accounting data'!$I$2:$I$37000,"8*",'Accounting data'!$J$2:$J$37000,"3*",'Accounting data'!$K$2:$K$37000,"69*")</f>
        <v>0</v>
      </c>
    </row>
    <row r="1387" spans="1:5" x14ac:dyDescent="0.2">
      <c r="A1387" s="524" t="s">
        <v>1007</v>
      </c>
      <c r="B1387" s="524">
        <v>900</v>
      </c>
      <c r="C1387" s="531">
        <v>3000</v>
      </c>
      <c r="D1387" s="522">
        <v>6900</v>
      </c>
      <c r="E1387" s="523">
        <f>SUMIFS('Accounting data'!$G$2:$G$37000,'Accounting data'!$H$2:$H$37000,"11*",'Accounting data'!$I$2:$I$37000,"9*",'Accounting data'!$J$2:$J$37000,"3*",'Accounting data'!$K$2:$K$37000,"69*")+SUMIFS('Accounting data'!$G$2:$G$37000,'Accounting data'!$H$2:$H$37000,"12*",'Accounting data'!$I$2:$I$37000,"9*",'Accounting data'!$J$2:$J$37000,"3*",'Accounting data'!$K$2:$K$37000,"69*")+SUMIFS('Accounting data'!$G$2:$G$37000,'Accounting data'!$H$2:$H$37000,"13*",'Accounting data'!$I$2:$I$37000,"9*",'Accounting data'!$J$2:$J$37000,"3*",'Accounting data'!$K$2:$K$37000,"69*")</f>
        <v>0</v>
      </c>
    </row>
    <row r="1388" spans="1:5" x14ac:dyDescent="0.2">
      <c r="A1388" s="525" t="s">
        <v>1102</v>
      </c>
      <c r="B1388" s="525"/>
      <c r="C1388" s="525"/>
      <c r="D1388" s="525"/>
      <c r="E1388" s="527">
        <f>(E1370+E1371+E1372+E1373+E1374+E1375+E1376+E1377+E1378)-(E1379+E1380+E1381+E1382+E1383+E1384+E1385+E1386+E1387)</f>
        <v>0</v>
      </c>
    </row>
    <row r="1437" spans="1:5" x14ac:dyDescent="0.2">
      <c r="A1437" s="522" t="s">
        <v>1103</v>
      </c>
      <c r="B1437" s="522" t="s">
        <v>991</v>
      </c>
      <c r="C1437" s="522" t="s">
        <v>991</v>
      </c>
      <c r="D1437" s="522">
        <v>6000</v>
      </c>
      <c r="E1437" s="523">
        <f>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data'!$K$2:$K$37000,"6*")+SUMIFS('Accounting data'!$G$2:$G$37000,'Accounting data'!$H$2:$H$37000,"9*",'Accounting data'!$K$2:$K$37000,"6*")</f>
        <v>0</v>
      </c>
    </row>
    <row r="1438" spans="1:5" x14ac:dyDescent="0.2">
      <c r="A1438" s="525" t="s">
        <v>1104</v>
      </c>
      <c r="B1438" s="525"/>
      <c r="C1438" s="525"/>
      <c r="D1438" s="525"/>
      <c r="E1438" s="527">
        <f>E1437</f>
        <v>0</v>
      </c>
    </row>
    <row r="1445" spans="1:5" x14ac:dyDescent="0.2">
      <c r="A1445" s="522" t="s">
        <v>991</v>
      </c>
      <c r="B1445" s="522" t="s">
        <v>991</v>
      </c>
      <c r="C1445" s="522">
        <v>5000</v>
      </c>
      <c r="D1445" s="522">
        <v>6850</v>
      </c>
      <c r="E1445" s="523">
        <f>SUMIFS('Accounting data'!$G$2:$G$37000,'Accounting data'!$J$2:$J$37000,"5*",'Accounting data'!$K$2:$K$37000,"685*")</f>
        <v>0</v>
      </c>
    </row>
    <row r="1446" spans="1:5" x14ac:dyDescent="0.2">
      <c r="A1446" s="522" t="s">
        <v>992</v>
      </c>
      <c r="B1446" s="522" t="s">
        <v>991</v>
      </c>
      <c r="C1446" s="522">
        <v>5000</v>
      </c>
      <c r="D1446" s="522">
        <v>6850</v>
      </c>
      <c r="E1446" s="523">
        <f>SUMIFS('Accounting data'!$G$2:$G$37000,'Accounting data'!$H$2:$H$37000,"9999*",'Accounting data'!$J$2:$J$37000,"5*",'Accounting data'!$K$2:$K$37000,"685*")</f>
        <v>0</v>
      </c>
    </row>
    <row r="1447" spans="1:5" x14ac:dyDescent="0.2">
      <c r="A1447" s="522" t="s">
        <v>991</v>
      </c>
      <c r="B1447" s="522" t="s">
        <v>993</v>
      </c>
      <c r="C1447" s="522">
        <v>5000</v>
      </c>
      <c r="D1447" s="522">
        <v>6850</v>
      </c>
      <c r="E1447" s="523">
        <f>SUMIFS('Accounting data'!$G$2:$G$37000,'Accounting data'!$I$2:$I$37000,"7*",'Accounting data'!$J$2:$J$37000,"5*",'Accounting data'!$K$2:$K$37000,"685*")+SUMIFS('Accounting data'!$G$2:$G$37000,'Accounting data'!$I$2:$I$37000,"8*",'Accounting data'!$J$2:$J$37000,"5*",'Accounting data'!$K$2:$K$37000,"685*")+SUMIFS('Accounting data'!$G$2:$G$37000,'Accounting data'!$I$2:$I$37000,"9*",'Accounting data'!$J$2:$J$37000,"5*",'Accounting data'!$K$2:$K$37000,"685*")</f>
        <v>0</v>
      </c>
    </row>
    <row r="1448" spans="1:5" x14ac:dyDescent="0.2">
      <c r="A1448" s="524" t="s">
        <v>992</v>
      </c>
      <c r="B1448" s="522" t="s">
        <v>993</v>
      </c>
      <c r="C1448" s="522">
        <v>5000</v>
      </c>
      <c r="D1448" s="522">
        <v>6850</v>
      </c>
      <c r="E1448" s="523">
        <f>SUMIFS('Accounting data'!$G$2:$G$37000,'Accounting data'!$H$2:$H$37000,"9999*",'Accounting data'!$I$2:$I$37000,"7*",'Accounting data'!$J$2:$J$37000,"5*",'Accounting data'!$K$2:$K$37000,"685*")+SUMIFS('Accounting data'!$G$2:$G$37000,'Accounting data'!$H$2:$H$37000,"9999*",'Accounting data'!$I$2:$I$37000,"8*",'Accounting data'!$J$2:$J$37000,"5*",'Accounting data'!$K$2:$K$37000,"685*")+SUMIFS('Accounting data'!$G$2:$G$37000,'Accounting data'!$H$2:$H$37000,"9999*",'Accounting data'!$I$2:$I$37000,"9*",'Accounting data'!$J$2:$J$37000,"5*",'Accounting data'!$K$2:$K$37000,"685*")</f>
        <v>0</v>
      </c>
    </row>
    <row r="1449" spans="1:5" ht="15" x14ac:dyDescent="0.25">
      <c r="A1449" s="525" t="s">
        <v>1105</v>
      </c>
      <c r="B1449" s="525"/>
      <c r="C1449" s="525"/>
      <c r="D1449" s="525"/>
      <c r="E1449" s="526">
        <f>(E1445-E1446-E1447)+E1448</f>
        <v>0</v>
      </c>
    </row>
    <row r="1450" spans="1:5" x14ac:dyDescent="0.2">
      <c r="A1450" s="522" t="s">
        <v>991</v>
      </c>
      <c r="B1450" s="522" t="s">
        <v>991</v>
      </c>
      <c r="C1450" s="522">
        <v>1000</v>
      </c>
      <c r="D1450" s="522">
        <v>6800</v>
      </c>
      <c r="E1450" s="523">
        <f t="array" ref="E1450">SUMIFS('Accounting data'!$G$2:$G$37000,'Accounting data'!$J$2:$J$37000,"1*",'Accounting data'!$K$2:$K$37000,"68*")</f>
        <v>4218</v>
      </c>
    </row>
    <row r="1451" spans="1:5" x14ac:dyDescent="0.2">
      <c r="A1451" s="522" t="s">
        <v>992</v>
      </c>
      <c r="B1451" s="522" t="s">
        <v>991</v>
      </c>
      <c r="C1451" s="522">
        <v>1000</v>
      </c>
      <c r="D1451" s="522">
        <v>6800</v>
      </c>
      <c r="E1451" s="523">
        <f t="array" ref="E1451">SUMIFS('Accounting data'!$G$2:$G$37000,'Accounting data'!$H$2:$H$37000,"9999*",'Accounting data'!$J$2:$J$37000,"1*",'Accounting data'!$K$2:$K$37000,"68*")</f>
        <v>0</v>
      </c>
    </row>
    <row r="1452" spans="1:5" x14ac:dyDescent="0.2">
      <c r="A1452" s="522" t="s">
        <v>991</v>
      </c>
      <c r="B1452" s="522" t="s">
        <v>993</v>
      </c>
      <c r="C1452" s="522">
        <v>1000</v>
      </c>
      <c r="D1452" s="522">
        <v>6800</v>
      </c>
      <c r="E1452" s="523">
        <f t="array" ref="E1452">SUMIFS('Accounting data'!$G$2:$G$37000,'Accounting data'!$I$2:$I$37000,"7*",'Accounting data'!$J$2:$J$37000,"1*",'Accounting data'!$K$2:$K$37000,"68*")+SUMIFS('Accounting data'!$G$2:$G$37000,'Accounting data'!$I$2:$I$37000,"8*",'Accounting data'!$J$2:$J$37000,"1*",'Accounting data'!$K$2:$K$37000,"68*")+SUMIFS('Accounting data'!$G$2:$G$37000,'Accounting data'!$I$2:$I$37000,"9*",'Accounting data'!$J$2:$J$37000,"1*",'Accounting data'!$K$2:$K$37000,"68*")</f>
        <v>0</v>
      </c>
    </row>
    <row r="1453" spans="1:5" x14ac:dyDescent="0.2">
      <c r="A1453" s="524" t="s">
        <v>992</v>
      </c>
      <c r="B1453" s="522" t="s">
        <v>993</v>
      </c>
      <c r="C1453" s="522">
        <v>1000</v>
      </c>
      <c r="D1453" s="522">
        <v>6800</v>
      </c>
      <c r="E1453" s="523">
        <f t="array" ref="E1453">SUMIFS('Accounting data'!$G$2:$G$37000,'Accounting data'!$H$2:$H$37000,"9999*",'Accounting data'!$I$2:$I$37000,"7*",'Accounting data'!$J$2:$J$37000,"1*",'Accounting data'!$K$2:$K$37000,"68*")+SUMIFS('Accounting data'!$G$2:$G$37000,'Accounting data'!$H$2:$H$37000,"9999*",'Accounting data'!$I$2:$I$37000,"8*",'Accounting data'!$J$2:$J$37000,"1*",'Accounting data'!$K$2:$K$37000,"68*")+SUMIFS('Accounting data'!$G$2:$G$37000,'Accounting data'!$H$2:$H$37000,"9999*",'Accounting data'!$I$2:$I$37000,"9*",'Accounting data'!$J$2:$J$37000,"1*",'Accounting data'!$K$2:$K$37000,"68*")</f>
        <v>0</v>
      </c>
    </row>
    <row r="1454" spans="1:5" ht="15" x14ac:dyDescent="0.25">
      <c r="A1454" s="525" t="s">
        <v>1106</v>
      </c>
      <c r="B1454" s="525"/>
      <c r="C1454" s="525"/>
      <c r="D1454" s="525"/>
      <c r="E1454" s="526">
        <f>(E1450-E1451-E1452)+E1453</f>
        <v>4218</v>
      </c>
    </row>
    <row r="1455" spans="1:5" x14ac:dyDescent="0.2">
      <c r="A1455" s="522" t="s">
        <v>991</v>
      </c>
      <c r="B1455" s="522" t="s">
        <v>991</v>
      </c>
      <c r="C1455" s="522">
        <v>2100</v>
      </c>
      <c r="D1455" s="522">
        <v>6800</v>
      </c>
      <c r="E1455" s="523">
        <f t="array" ref="E1455">SUMIFS('Accounting data'!$G$2:$G$37000,'Accounting data'!$J$2:$J$37000,"21*",'Accounting data'!$K$2:$K$37000,"68*")</f>
        <v>0</v>
      </c>
    </row>
    <row r="1456" spans="1:5" x14ac:dyDescent="0.2">
      <c r="A1456" s="522" t="s">
        <v>992</v>
      </c>
      <c r="B1456" s="522" t="s">
        <v>991</v>
      </c>
      <c r="C1456" s="522">
        <v>2100</v>
      </c>
      <c r="D1456" s="522">
        <v>6800</v>
      </c>
      <c r="E1456" s="523">
        <f t="array" ref="E1456">SUMIFS('Accounting data'!$G$2:$G$37000,'Accounting data'!$H$2:$H$37000,"9999*",'Accounting data'!$J$2:$J$37000,"21*",'Accounting data'!$K$2:$K$37000,"68*")</f>
        <v>0</v>
      </c>
    </row>
    <row r="1457" spans="1:5" x14ac:dyDescent="0.2">
      <c r="A1457" s="522" t="s">
        <v>991</v>
      </c>
      <c r="B1457" s="522" t="s">
        <v>993</v>
      </c>
      <c r="C1457" s="522">
        <v>2100</v>
      </c>
      <c r="D1457" s="522">
        <v>6800</v>
      </c>
      <c r="E1457" s="523">
        <f t="array" ref="E1457">SUMIFS('Accounting data'!$G$2:$G$37000,'Accounting data'!$I$2:$I$37000,"7*",'Accounting data'!$J$2:$J$37000,"21*",'Accounting data'!$K$2:$K$37000,"68*")+SUMIFS('Accounting data'!$G$2:$G$37000,'Accounting data'!$I$2:$I$37000,"8*",'Accounting data'!$J$2:$J$37000,"21*",'Accounting data'!$K$2:$K$37000,"68*")+SUMIFS('Accounting data'!$G$2:$G$37000,'Accounting data'!$I$2:$I$37000,"9*",'Accounting data'!$J$2:$J$37000,"21*",'Accounting data'!$K$2:$K$37000,"68*")</f>
        <v>0</v>
      </c>
    </row>
    <row r="1458" spans="1:5" x14ac:dyDescent="0.2">
      <c r="A1458" s="524" t="s">
        <v>992</v>
      </c>
      <c r="B1458" s="522" t="s">
        <v>993</v>
      </c>
      <c r="C1458" s="522">
        <v>2100</v>
      </c>
      <c r="D1458" s="522">
        <v>6800</v>
      </c>
      <c r="E1458" s="523">
        <f t="array" ref="E1458">SUMIFS('Accounting data'!$G$2:$G$37000,'Accounting data'!$H$2:$H$37000,"9999*",'Accounting data'!$I$2:$I$37000,"7*",'Accounting data'!$J$2:$J$37000,"21*",'Accounting data'!$K$2:$K$37000,"68*")+SUMIFS('Accounting data'!$G$2:$G$37000,'Accounting data'!$H$2:$H$37000,"9999*",'Accounting data'!$I$2:$I$37000,"8*",'Accounting data'!$J$2:$J$37000,"21*",'Accounting data'!$K$2:$K$37000,"68*")+SUMIFS('Accounting data'!$G$2:$G$37000,'Accounting data'!$H$2:$H$37000,"9999*",'Accounting data'!$I$2:$I$37000,"9*",'Accounting data'!$J$2:$J$37000,"21*",'Accounting data'!$K$2:$K$37000,"68*")</f>
        <v>0</v>
      </c>
    </row>
    <row r="1459" spans="1:5" ht="15" x14ac:dyDescent="0.25">
      <c r="A1459" s="525" t="s">
        <v>1107</v>
      </c>
      <c r="B1459" s="525"/>
      <c r="C1459" s="525"/>
      <c r="D1459" s="525"/>
      <c r="E1459" s="526">
        <f>(E1455-E1456-E1457)+E1458</f>
        <v>0</v>
      </c>
    </row>
    <row r="1460" spans="1:5" x14ac:dyDescent="0.2">
      <c r="A1460" s="522" t="s">
        <v>991</v>
      </c>
      <c r="B1460" s="522" t="s">
        <v>991</v>
      </c>
      <c r="C1460" s="522">
        <v>2200</v>
      </c>
      <c r="D1460" s="522">
        <v>6800</v>
      </c>
      <c r="E1460" s="523">
        <f t="array" ref="E1460">SUMIFS('Accounting data'!$G$2:$G$37000,'Accounting data'!$J$2:$J$37000,"22*",'Accounting data'!$K$2:$K$37000,"68*")</f>
        <v>0</v>
      </c>
    </row>
    <row r="1461" spans="1:5" x14ac:dyDescent="0.2">
      <c r="A1461" s="522" t="s">
        <v>992</v>
      </c>
      <c r="B1461" s="522" t="s">
        <v>991</v>
      </c>
      <c r="C1461" s="522">
        <v>2200</v>
      </c>
      <c r="D1461" s="522">
        <v>6800</v>
      </c>
      <c r="E1461" s="523">
        <f t="array" ref="E1461">SUMIFS('Accounting data'!$G$2:$G$37000,'Accounting data'!$H$2:$H$37000,"9999*",'Accounting data'!$J$2:$J$37000,"22*",'Accounting data'!$K$2:$K$37000,"68*")</f>
        <v>0</v>
      </c>
    </row>
    <row r="1462" spans="1:5" x14ac:dyDescent="0.2">
      <c r="A1462" s="522" t="s">
        <v>991</v>
      </c>
      <c r="B1462" s="522" t="s">
        <v>993</v>
      </c>
      <c r="C1462" s="522">
        <v>2200</v>
      </c>
      <c r="D1462" s="522">
        <v>6800</v>
      </c>
      <c r="E1462" s="523">
        <f t="array" ref="E1462">SUMIFS('Accounting data'!$G$2:$G$37000,'Accounting data'!$I$2:$I$37000,"7*",'Accounting data'!$J$2:$J$37000,"22*",'Accounting data'!$K$2:$K$37000,"68*")+SUMIFS('Accounting data'!$G$2:$G$37000,'Accounting data'!$I$2:$I$37000,"8*",'Accounting data'!$J$2:$J$37000,"22*",'Accounting data'!$K$2:$K$37000,"68*")+SUMIFS('Accounting data'!$G$2:$G$37000,'Accounting data'!$I$2:$I$37000,"9*",'Accounting data'!$J$2:$J$37000,"22*",'Accounting data'!$K$2:$K$37000,"68*")</f>
        <v>0</v>
      </c>
    </row>
    <row r="1463" spans="1:5" x14ac:dyDescent="0.2">
      <c r="A1463" s="524" t="s">
        <v>992</v>
      </c>
      <c r="B1463" s="522" t="s">
        <v>993</v>
      </c>
      <c r="C1463" s="522">
        <v>2200</v>
      </c>
      <c r="D1463" s="522">
        <v>6800</v>
      </c>
      <c r="E1463" s="523">
        <f t="array" ref="E1463">SUMIFS('Accounting data'!$G$2:$G$37000,'Accounting data'!$H$2:$H$37000,"9999*",'Accounting data'!$I$2:$I$37000,"7*",'Accounting data'!$J$2:$J$37000,"22*",'Accounting data'!$K$2:$K$37000,"68*")+SUMIFS('Accounting data'!$G$2:$G$37000,'Accounting data'!$H$2:$H$37000,"9999*",'Accounting data'!$I$2:$I$37000,"8*",'Accounting data'!$J$2:$J$37000,"22*",'Accounting data'!$K$2:$K$37000,"68*")+SUMIFS('Accounting data'!$G$2:$G$37000,'Accounting data'!$H$2:$H$37000,"9999*",'Accounting data'!$I$2:$I$37000,"9*",'Accounting data'!$J$2:$J$37000,"22*",'Accounting data'!$K$2:$K$37000,"68*")</f>
        <v>0</v>
      </c>
    </row>
    <row r="1464" spans="1:5" ht="15" x14ac:dyDescent="0.25">
      <c r="A1464" s="525" t="s">
        <v>1108</v>
      </c>
      <c r="B1464" s="525"/>
      <c r="C1464" s="525"/>
      <c r="D1464" s="525"/>
      <c r="E1464" s="526">
        <f>(E1460-E1461-E1462)+E1463</f>
        <v>0</v>
      </c>
    </row>
    <row r="1465" spans="1:5" x14ac:dyDescent="0.2">
      <c r="A1465" s="522" t="s">
        <v>991</v>
      </c>
      <c r="B1465" s="522" t="s">
        <v>991</v>
      </c>
      <c r="C1465" s="522">
        <v>2300</v>
      </c>
      <c r="D1465" s="522">
        <v>6800</v>
      </c>
      <c r="E1465" s="523">
        <f t="array" ref="E1465">SUMIFS('Accounting data'!$G$2:$G$37000,'Accounting data'!$J$2:$J$37000,"23*",'Accounting data'!$K$2:$K$37000,"68*")</f>
        <v>0</v>
      </c>
    </row>
    <row r="1466" spans="1:5" x14ac:dyDescent="0.2">
      <c r="A1466" s="522" t="s">
        <v>992</v>
      </c>
      <c r="B1466" s="522" t="s">
        <v>991</v>
      </c>
      <c r="C1466" s="522">
        <v>2300</v>
      </c>
      <c r="D1466" s="522">
        <v>6800</v>
      </c>
      <c r="E1466" s="523">
        <f t="array" ref="E1466">SUMIFS('Accounting data'!$G$2:$G$37000,'Accounting data'!$H$2:$H$37000,"9999*",'Accounting data'!$J$2:$J$37000,"23*",'Accounting data'!$K$2:$K$37000,"68*")</f>
        <v>0</v>
      </c>
    </row>
    <row r="1467" spans="1:5" x14ac:dyDescent="0.2">
      <c r="A1467" s="522" t="s">
        <v>991</v>
      </c>
      <c r="B1467" s="522" t="s">
        <v>993</v>
      </c>
      <c r="C1467" s="522">
        <v>2300</v>
      </c>
      <c r="D1467" s="522">
        <v>6800</v>
      </c>
      <c r="E1467" s="523">
        <f t="array" ref="E1467">SUMIFS('Accounting data'!$G$2:$G$37000,'Accounting data'!$I$2:$I$37000,"7*",'Accounting data'!$J$2:$J$37000,"23*",'Accounting data'!$K$2:$K$37000,"68*")+SUMIFS('Accounting data'!$G$2:$G$37000,'Accounting data'!$I$2:$I$37000,"8*",'Accounting data'!$J$2:$J$37000,"23*",'Accounting data'!$K$2:$K$37000,"68*")+SUMIFS('Accounting data'!$G$2:$G$37000,'Accounting data'!$I$2:$I$37000,"9*",'Accounting data'!$J$2:$J$37000,"23*",'Accounting data'!$K$2:$K$37000,"68*")</f>
        <v>0</v>
      </c>
    </row>
    <row r="1468" spans="1:5" x14ac:dyDescent="0.2">
      <c r="A1468" s="524" t="s">
        <v>992</v>
      </c>
      <c r="B1468" s="522" t="s">
        <v>993</v>
      </c>
      <c r="C1468" s="522">
        <v>2300</v>
      </c>
      <c r="D1468" s="522">
        <v>6800</v>
      </c>
      <c r="E1468" s="523">
        <f t="array" ref="E1468">SUMIFS('Accounting data'!$G$2:$G$37000,'Accounting data'!$H$2:$H$37000,"9999*",'Accounting data'!$I$2:$I$37000,"7*",'Accounting data'!$J$2:$J$37000,"23*",'Accounting data'!$K$2:$K$37000,"68*")+SUMIFS('Accounting data'!$G$2:$G$37000,'Accounting data'!$H$2:$H$37000,"9999*",'Accounting data'!$I$2:$I$37000,"8*",'Accounting data'!$J$2:$J$37000,"23*",'Accounting data'!$K$2:$K$37000,"68*")+SUMIFS('Accounting data'!$G$2:$G$37000,'Accounting data'!$H$2:$H$37000,"9999*",'Accounting data'!$I$2:$I$37000,"9*",'Accounting data'!$J$2:$J$37000,"23*",'Accounting data'!$K$2:$K$37000,"68*")</f>
        <v>0</v>
      </c>
    </row>
    <row r="1469" spans="1:5" ht="15" x14ac:dyDescent="0.25">
      <c r="A1469" s="525" t="s">
        <v>1109</v>
      </c>
      <c r="B1469" s="525"/>
      <c r="C1469" s="525"/>
      <c r="D1469" s="525"/>
      <c r="E1469" s="526">
        <f>(E1465-E1466-E1467)+E1468</f>
        <v>0</v>
      </c>
    </row>
    <row r="1470" spans="1:5" x14ac:dyDescent="0.2">
      <c r="A1470" s="522" t="s">
        <v>991</v>
      </c>
      <c r="B1470" s="522" t="s">
        <v>991</v>
      </c>
      <c r="C1470" s="522">
        <v>2400</v>
      </c>
      <c r="D1470" s="522">
        <v>6800</v>
      </c>
      <c r="E1470" s="523">
        <f t="array" ref="E1470">SUMIFS('Accounting data'!$G$2:$G$37000,'Accounting data'!$J$2:$J$37000,"24*",'Accounting data'!$K$2:$K$37000,"68*")</f>
        <v>0</v>
      </c>
    </row>
    <row r="1471" spans="1:5" x14ac:dyDescent="0.2">
      <c r="A1471" s="522" t="s">
        <v>992</v>
      </c>
      <c r="B1471" s="522" t="s">
        <v>991</v>
      </c>
      <c r="C1471" s="522">
        <v>2400</v>
      </c>
      <c r="D1471" s="522">
        <v>6800</v>
      </c>
      <c r="E1471" s="523">
        <f t="array" ref="E1471">SUMIFS('Accounting data'!$G$2:$G$37000,'Accounting data'!$H$2:$H$37000,"9999*",'Accounting data'!$J$2:$J$37000,"24*",'Accounting data'!$K$2:$K$37000,"68*")</f>
        <v>0</v>
      </c>
    </row>
    <row r="1472" spans="1:5" x14ac:dyDescent="0.2">
      <c r="A1472" s="522" t="s">
        <v>991</v>
      </c>
      <c r="B1472" s="522" t="s">
        <v>993</v>
      </c>
      <c r="C1472" s="522">
        <v>2400</v>
      </c>
      <c r="D1472" s="522">
        <v>6800</v>
      </c>
      <c r="E1472" s="523">
        <f t="array" ref="E1472">SUMIFS('Accounting data'!$G$2:$G$37000,'Accounting data'!$I$2:$I$37000,"7*",'Accounting data'!$J$2:$J$37000,"24*",'Accounting data'!$K$2:$K$37000,"68*")+SUMIFS('Accounting data'!$G$2:$G$37000,'Accounting data'!$I$2:$I$37000,"8*",'Accounting data'!$J$2:$J$37000,"24*",'Accounting data'!$K$2:$K$37000,"68*")+SUMIFS('Accounting data'!$G$2:$G$37000,'Accounting data'!$I$2:$I$37000,"9*",'Accounting data'!$J$2:$J$37000,"24*",'Accounting data'!$K$2:$K$37000,"68*")</f>
        <v>0</v>
      </c>
    </row>
    <row r="1473" spans="1:5" x14ac:dyDescent="0.2">
      <c r="A1473" s="524" t="s">
        <v>992</v>
      </c>
      <c r="B1473" s="522" t="s">
        <v>993</v>
      </c>
      <c r="C1473" s="522">
        <v>2400</v>
      </c>
      <c r="D1473" s="522">
        <v>6800</v>
      </c>
      <c r="E1473" s="523">
        <f t="array" ref="E1473">SUMIFS('Accounting data'!$G$2:$G$37000,'Accounting data'!$H$2:$H$37000,"9999*",'Accounting data'!$I$2:$I$37000,"7*",'Accounting data'!$J$2:$J$37000,"24*",'Accounting data'!$K$2:$K$37000,"68*")+SUMIFS('Accounting data'!$G$2:$G$37000,'Accounting data'!$H$2:$H$37000,"9999*",'Accounting data'!$I$2:$I$37000,"8*",'Accounting data'!$J$2:$J$37000,"24*",'Accounting data'!$K$2:$K$37000,"68*")+SUMIFS('Accounting data'!$G$2:$G$37000,'Accounting data'!$H$2:$H$37000,"9999*",'Accounting data'!$I$2:$I$37000,"9*",'Accounting data'!$J$2:$J$37000,"24*",'Accounting data'!$K$2:$K$37000,"68*")</f>
        <v>0</v>
      </c>
    </row>
    <row r="1474" spans="1:5" ht="15" x14ac:dyDescent="0.25">
      <c r="A1474" s="525" t="s">
        <v>1110</v>
      </c>
      <c r="B1474" s="525"/>
      <c r="C1474" s="525"/>
      <c r="D1474" s="525"/>
      <c r="E1474" s="526">
        <f>(E1470-E1471-E1472)+E1473</f>
        <v>0</v>
      </c>
    </row>
    <row r="1475" spans="1:5" x14ac:dyDescent="0.2">
      <c r="A1475" s="522" t="s">
        <v>991</v>
      </c>
      <c r="B1475" s="522" t="s">
        <v>991</v>
      </c>
      <c r="C1475" s="522">
        <v>2500</v>
      </c>
      <c r="D1475" s="522">
        <v>6800</v>
      </c>
      <c r="E1475" s="523">
        <f t="array" ref="E1475">SUMIFS('Accounting data'!$G$2:$G$37000,'Accounting data'!$J$2:$J$37000,"25*",'Accounting data'!$K$2:$K$37000,"68*")</f>
        <v>9855</v>
      </c>
    </row>
    <row r="1476" spans="1:5" x14ac:dyDescent="0.2">
      <c r="A1476" s="522" t="s">
        <v>992</v>
      </c>
      <c r="B1476" s="522" t="s">
        <v>991</v>
      </c>
      <c r="C1476" s="522">
        <v>2500</v>
      </c>
      <c r="D1476" s="522">
        <v>6800</v>
      </c>
      <c r="E1476" s="523">
        <f t="array" ref="E1476">SUMIFS('Accounting data'!$G$2:$G$37000,'Accounting data'!$H$2:$H$37000,"9999*",'Accounting data'!$J$2:$J$37000,"25*",'Accounting data'!$K$2:$K$37000,"68*")</f>
        <v>0</v>
      </c>
    </row>
    <row r="1477" spans="1:5" x14ac:dyDescent="0.2">
      <c r="A1477" s="522" t="s">
        <v>991</v>
      </c>
      <c r="B1477" s="522" t="s">
        <v>993</v>
      </c>
      <c r="C1477" s="522">
        <v>2500</v>
      </c>
      <c r="D1477" s="522">
        <v>6800</v>
      </c>
      <c r="E1477" s="523">
        <f t="array" ref="E1477">SUMIFS('Accounting data'!$G$2:$G$37000,'Accounting data'!$I$2:$I$37000,"7*",'Accounting data'!$J$2:$J$37000,"25*",'Accounting data'!$K$2:$K$37000,"68*")+SUMIFS('Accounting data'!$G$2:$G$37000,'Accounting data'!$I$2:$I$37000,"8*",'Accounting data'!$J$2:$J$37000,"25*",'Accounting data'!$K$2:$K$37000,"68*")+SUMIFS('Accounting data'!$G$2:$G$37000,'Accounting data'!$I$2:$I$37000,"9*",'Accounting data'!$J$2:$J$37000,"25*",'Accounting data'!$K$2:$K$37000,"68*")</f>
        <v>0</v>
      </c>
    </row>
    <row r="1478" spans="1:5" x14ac:dyDescent="0.2">
      <c r="A1478" s="524" t="s">
        <v>992</v>
      </c>
      <c r="B1478" s="522" t="s">
        <v>993</v>
      </c>
      <c r="C1478" s="522">
        <v>2500</v>
      </c>
      <c r="D1478" s="522">
        <v>6800</v>
      </c>
      <c r="E1478" s="523">
        <f t="array" ref="E1478">SUMIFS('Accounting data'!$G$2:$G$37000,'Accounting data'!$H$2:$H$37000,"9999*",'Accounting data'!$I$2:$I$37000,"7*",'Accounting data'!$J$2:$J$37000,"25*",'Accounting data'!$K$2:$K$37000,"68*")+SUMIFS('Accounting data'!$G$2:$G$37000,'Accounting data'!$H$2:$H$37000,"9999*",'Accounting data'!$I$2:$I$37000,"8*",'Accounting data'!$J$2:$J$37000,"25*",'Accounting data'!$K$2:$K$37000,"68*")+SUMIFS('Accounting data'!$G$2:$G$37000,'Accounting data'!$H$2:$H$37000,"9999*",'Accounting data'!$I$2:$I$37000,"9*",'Accounting data'!$J$2:$J$37000,"25*",'Accounting data'!$K$2:$K$37000,"68*")</f>
        <v>0</v>
      </c>
    </row>
    <row r="1479" spans="1:5" ht="15" x14ac:dyDescent="0.25">
      <c r="A1479" s="525" t="s">
        <v>1111</v>
      </c>
      <c r="B1479" s="525"/>
      <c r="C1479" s="525"/>
      <c r="D1479" s="525"/>
      <c r="E1479" s="526">
        <f>(E1475-E1476-E1477)+E1478</f>
        <v>9855</v>
      </c>
    </row>
    <row r="1480" spans="1:5" x14ac:dyDescent="0.2">
      <c r="A1480" s="522" t="s">
        <v>991</v>
      </c>
      <c r="B1480" s="522" t="s">
        <v>991</v>
      </c>
      <c r="C1480" s="522">
        <v>2900</v>
      </c>
      <c r="D1480" s="522">
        <v>6800</v>
      </c>
      <c r="E1480" s="523">
        <f t="array" ref="E1480">SUMIFS('Accounting data'!$G$2:$G$37000,'Accounting data'!$J$2:$J$37000,"29*",'Accounting data'!$K$2:$K$37000,"68*")</f>
        <v>0</v>
      </c>
    </row>
    <row r="1481" spans="1:5" x14ac:dyDescent="0.2">
      <c r="A1481" s="522" t="s">
        <v>992</v>
      </c>
      <c r="B1481" s="522" t="s">
        <v>991</v>
      </c>
      <c r="C1481" s="522">
        <v>2900</v>
      </c>
      <c r="D1481" s="522">
        <v>6800</v>
      </c>
      <c r="E1481" s="523">
        <f t="array" ref="E1481">SUMIFS('Accounting data'!$G$2:$G$37000,'Accounting data'!$H$2:$H$37000,"9999*",'Accounting data'!$J$2:$J$37000,"29*",'Accounting data'!$K$2:$K$37000,"68*")</f>
        <v>0</v>
      </c>
    </row>
    <row r="1482" spans="1:5" x14ac:dyDescent="0.2">
      <c r="A1482" s="522" t="s">
        <v>991</v>
      </c>
      <c r="B1482" s="522" t="s">
        <v>993</v>
      </c>
      <c r="C1482" s="522">
        <v>2900</v>
      </c>
      <c r="D1482" s="522">
        <v>6800</v>
      </c>
      <c r="E1482" s="523">
        <f t="array" ref="E1482">SUMIFS('Accounting data'!$G$2:$G$37000,'Accounting data'!$I$2:$I$37000,"7*",'Accounting data'!$J$2:$J$37000,"29*",'Accounting data'!$K$2:$K$37000,"68*")+SUMIFS('Accounting data'!$G$2:$G$37000,'Accounting data'!$I$2:$I$37000,"8*",'Accounting data'!$J$2:$J$37000,"29*",'Accounting data'!$K$2:$K$37000,"68*")+SUMIFS('Accounting data'!$G$2:$G$37000,'Accounting data'!$I$2:$I$37000,"9*",'Accounting data'!$J$2:$J$37000,"29*",'Accounting data'!$K$2:$K$37000,"68*")</f>
        <v>0</v>
      </c>
    </row>
    <row r="1483" spans="1:5" x14ac:dyDescent="0.2">
      <c r="A1483" s="524" t="s">
        <v>992</v>
      </c>
      <c r="B1483" s="522" t="s">
        <v>993</v>
      </c>
      <c r="C1483" s="522">
        <v>2900</v>
      </c>
      <c r="D1483" s="522">
        <v>6800</v>
      </c>
      <c r="E1483" s="523">
        <f t="array" ref="E1483">SUMIFS('Accounting data'!$G$2:$G$37000,'Accounting data'!$H$2:$H$37000,"9999*",'Accounting data'!$I$2:$I$37000,"7*",'Accounting data'!$J$2:$J$37000,"29*",'Accounting data'!$K$2:$K$37000,"68*")+SUMIFS('Accounting data'!$G$2:$G$37000,'Accounting data'!$H$2:$H$37000,"9999*",'Accounting data'!$I$2:$I$37000,"8*",'Accounting data'!$J$2:$J$37000,"29*",'Accounting data'!$K$2:$K$37000,"68*")+SUMIFS('Accounting data'!$G$2:$G$37000,'Accounting data'!$H$2:$H$37000,"9999*",'Accounting data'!$I$2:$I$37000,"9*",'Accounting data'!$J$2:$J$37000,"29*",'Accounting data'!$K$2:$K$37000,"68*")</f>
        <v>0</v>
      </c>
    </row>
    <row r="1484" spans="1:5" ht="15" x14ac:dyDescent="0.25">
      <c r="A1484" s="525" t="s">
        <v>1112</v>
      </c>
      <c r="B1484" s="525"/>
      <c r="C1484" s="525"/>
      <c r="D1484" s="525"/>
      <c r="E1484" s="526">
        <f>(E1480-E1481-E1482)+E1483</f>
        <v>0</v>
      </c>
    </row>
    <row r="1485" spans="1:5" x14ac:dyDescent="0.2">
      <c r="A1485" s="522" t="s">
        <v>991</v>
      </c>
      <c r="B1485" s="522" t="s">
        <v>991</v>
      </c>
      <c r="C1485" s="522">
        <v>2600</v>
      </c>
      <c r="D1485" s="522">
        <v>6800</v>
      </c>
      <c r="E1485" s="523">
        <f t="array" ref="E1485">SUMIFS('Accounting data'!$G$2:$G$37000,'Accounting data'!$J$2:$J$37000,"26*",'Accounting data'!$K$2:$K$37000,"68*")</f>
        <v>1010</v>
      </c>
    </row>
    <row r="1486" spans="1:5" x14ac:dyDescent="0.2">
      <c r="A1486" s="522" t="s">
        <v>992</v>
      </c>
      <c r="B1486" s="522" t="s">
        <v>991</v>
      </c>
      <c r="C1486" s="522">
        <v>2600</v>
      </c>
      <c r="D1486" s="522">
        <v>6800</v>
      </c>
      <c r="E1486" s="523">
        <f t="array" ref="E1486">SUMIFS('Accounting data'!$G$2:$G$37000,'Accounting data'!$H$2:$H$37000,"9999*",'Accounting data'!$J$2:$J$37000,"26*",'Accounting data'!$K$2:$K$37000,"68*")</f>
        <v>0</v>
      </c>
    </row>
    <row r="1487" spans="1:5" x14ac:dyDescent="0.2">
      <c r="A1487" s="522" t="s">
        <v>991</v>
      </c>
      <c r="B1487" s="522" t="s">
        <v>993</v>
      </c>
      <c r="C1487" s="522">
        <v>2600</v>
      </c>
      <c r="D1487" s="522">
        <v>6800</v>
      </c>
      <c r="E1487" s="523">
        <f t="array" ref="E1487">SUMIFS('Accounting data'!$G$2:$G$37000,'Accounting data'!$I$2:$I$37000,"7*",'Accounting data'!$J$2:$J$37000,"26*",'Accounting data'!$K$2:$K$37000,"68*")+SUMIFS('Accounting data'!$G$2:$G$37000,'Accounting data'!$I$2:$I$37000,"8*",'Accounting data'!$J$2:$J$37000,"26*",'Accounting data'!$K$2:$K$37000,"68*")+SUMIFS('Accounting data'!$G$2:$G$37000,'Accounting data'!$I$2:$I$37000,"9*",'Accounting data'!$J$2:$J$37000,"26*",'Accounting data'!$K$2:$K$37000,"68*")</f>
        <v>0</v>
      </c>
    </row>
    <row r="1488" spans="1:5" x14ac:dyDescent="0.2">
      <c r="A1488" s="524" t="s">
        <v>992</v>
      </c>
      <c r="B1488" s="522" t="s">
        <v>993</v>
      </c>
      <c r="C1488" s="522">
        <v>2600</v>
      </c>
      <c r="D1488" s="522">
        <v>6800</v>
      </c>
      <c r="E1488" s="523">
        <f t="array" ref="E1488">SUMIFS('Accounting data'!$G$2:$G$37000,'Accounting data'!$H$2:$H$37000,"9999*",'Accounting data'!$I$2:$I$37000,"7*",'Accounting data'!$J$2:$J$37000,"26*",'Accounting data'!$K$2:$K$37000,"68*")+SUMIFS('Accounting data'!$G$2:$G$37000,'Accounting data'!$H$2:$H$37000,"9999*",'Accounting data'!$I$2:$I$37000,"8*",'Accounting data'!$J$2:$J$37000,"26*",'Accounting data'!$K$2:$K$37000,"68*")+SUMIFS('Accounting data'!$G$2:$G$37000,'Accounting data'!$H$2:$H$37000,"9999*",'Accounting data'!$I$2:$I$37000,"9*",'Accounting data'!$J$2:$J$37000,"26*",'Accounting data'!$K$2:$K$37000,"68*")</f>
        <v>0</v>
      </c>
    </row>
    <row r="1489" spans="1:5" ht="15" x14ac:dyDescent="0.25">
      <c r="A1489" s="525" t="s">
        <v>1113</v>
      </c>
      <c r="B1489" s="525"/>
      <c r="C1489" s="525"/>
      <c r="D1489" s="525"/>
      <c r="E1489" s="526">
        <f>(E1485-E1486-E1487)+E1488</f>
        <v>1010</v>
      </c>
    </row>
    <row r="1490" spans="1:5" x14ac:dyDescent="0.2">
      <c r="A1490" s="522" t="s">
        <v>991</v>
      </c>
      <c r="B1490" s="522" t="s">
        <v>991</v>
      </c>
      <c r="C1490" s="522">
        <v>2700</v>
      </c>
      <c r="D1490" s="522">
        <v>6800</v>
      </c>
      <c r="E1490" s="523">
        <f t="array" ref="E1490">SUMIFS('Accounting data'!$G$2:$G$37000,'Accounting data'!$J$2:$J$37000,"27*",'Accounting data'!$K$2:$K$37000,"68*")</f>
        <v>0</v>
      </c>
    </row>
    <row r="1491" spans="1:5" x14ac:dyDescent="0.2">
      <c r="A1491" s="522" t="s">
        <v>992</v>
      </c>
      <c r="B1491" s="522" t="s">
        <v>991</v>
      </c>
      <c r="C1491" s="522">
        <v>2700</v>
      </c>
      <c r="D1491" s="522">
        <v>6800</v>
      </c>
      <c r="E1491" s="523">
        <f t="array" ref="E1491">SUMIFS('Accounting data'!$G$2:$G$37000,'Accounting data'!$H$2:$H$37000,"9999*",'Accounting data'!$J$2:$J$37000,"27*",'Accounting data'!$K$2:$K$37000,"68*")</f>
        <v>0</v>
      </c>
    </row>
    <row r="1492" spans="1:5" x14ac:dyDescent="0.2">
      <c r="A1492" s="522" t="s">
        <v>991</v>
      </c>
      <c r="B1492" s="522" t="s">
        <v>993</v>
      </c>
      <c r="C1492" s="522">
        <v>2700</v>
      </c>
      <c r="D1492" s="522">
        <v>6800</v>
      </c>
      <c r="E1492" s="523">
        <f t="array" ref="E1492">SUMIFS('Accounting data'!$G$2:$G$37000,'Accounting data'!$I$2:$I$37000,"7*",'Accounting data'!$J$2:$J$37000,"27*",'Accounting data'!$K$2:$K$37000,"68*")+SUMIFS('Accounting data'!$G$2:$G$37000,'Accounting data'!$I$2:$I$37000,"8*",'Accounting data'!$J$2:$J$37000,"27*",'Accounting data'!$K$2:$K$37000,"68*")+SUMIFS('Accounting data'!$G$2:$G$37000,'Accounting data'!$I$2:$I$37000,"9*",'Accounting data'!$J$2:$J$37000,"27*",'Accounting data'!$K$2:$K$37000,"68*")</f>
        <v>0</v>
      </c>
    </row>
    <row r="1493" spans="1:5" x14ac:dyDescent="0.2">
      <c r="A1493" s="524" t="s">
        <v>992</v>
      </c>
      <c r="B1493" s="522" t="s">
        <v>993</v>
      </c>
      <c r="C1493" s="522">
        <v>2700</v>
      </c>
      <c r="D1493" s="522">
        <v>6800</v>
      </c>
      <c r="E1493" s="523">
        <f t="array" ref="E1493">SUMIFS('Accounting data'!$G$2:$G$37000,'Accounting data'!$H$2:$H$37000,"9999*",'Accounting data'!$I$2:$I$37000,"7*",'Accounting data'!$J$2:$J$37000,"27*",'Accounting data'!$K$2:$K$37000,"68*")+SUMIFS('Accounting data'!$G$2:$G$37000,'Accounting data'!$H$2:$H$37000,"9999*",'Accounting data'!$I$2:$I$37000,"8*",'Accounting data'!$J$2:$J$37000,"27*",'Accounting data'!$K$2:$K$37000,"68*")+SUMIFS('Accounting data'!$G$2:$G$37000,'Accounting data'!$H$2:$H$37000,"9999*",'Accounting data'!$I$2:$I$37000,"9*",'Accounting data'!$J$2:$J$37000,"27*",'Accounting data'!$K$2:$K$37000,"68*")</f>
        <v>0</v>
      </c>
    </row>
    <row r="1494" spans="1:5" ht="15" x14ac:dyDescent="0.25">
      <c r="A1494" s="525" t="s">
        <v>1114</v>
      </c>
      <c r="B1494" s="525"/>
      <c r="C1494" s="525"/>
      <c r="D1494" s="525"/>
      <c r="E1494" s="526">
        <f>(E1490-E1491-E1492)+E1493</f>
        <v>0</v>
      </c>
    </row>
    <row r="1495" spans="1:5" x14ac:dyDescent="0.2">
      <c r="A1495" s="522" t="s">
        <v>991</v>
      </c>
      <c r="B1495" s="522" t="s">
        <v>991</v>
      </c>
      <c r="C1495" s="522">
        <v>3100</v>
      </c>
      <c r="D1495" s="522">
        <v>6800</v>
      </c>
      <c r="E1495" s="523">
        <f t="array" ref="E1495">SUMIFS('Accounting data'!$G$2:$G$37000,'Accounting data'!$J$2:$J$37000,"31*",'Accounting data'!$K$2:$K$37000,"68*")</f>
        <v>0</v>
      </c>
    </row>
    <row r="1496" spans="1:5" x14ac:dyDescent="0.2">
      <c r="A1496" s="522" t="s">
        <v>992</v>
      </c>
      <c r="B1496" s="522" t="s">
        <v>991</v>
      </c>
      <c r="C1496" s="522">
        <v>3100</v>
      </c>
      <c r="D1496" s="522">
        <v>6800</v>
      </c>
      <c r="E1496" s="523">
        <f t="array" ref="E1496">SUMIFS('Accounting data'!$G$2:$G$37000,'Accounting data'!$H$2:$H$37000,"9999*",'Accounting data'!$J$2:$J$37000,"31*",'Accounting data'!$K$2:$K$37000,"68*")</f>
        <v>0</v>
      </c>
    </row>
    <row r="1497" spans="1:5" x14ac:dyDescent="0.2">
      <c r="A1497" s="522" t="s">
        <v>991</v>
      </c>
      <c r="B1497" s="522" t="s">
        <v>993</v>
      </c>
      <c r="C1497" s="522">
        <v>3100</v>
      </c>
      <c r="D1497" s="522">
        <v>6800</v>
      </c>
      <c r="E1497" s="523">
        <f t="array" ref="E1497">SUMIFS('Accounting data'!$G$2:$G$37000,'Accounting data'!$I$2:$I$37000,"7*",'Accounting data'!$J$2:$J$37000,"31*",'Accounting data'!$K$2:$K$37000,"68*")+SUMIFS('Accounting data'!$G$2:$G$37000,'Accounting data'!$I$2:$I$37000,"8*",'Accounting data'!$J$2:$J$37000,"31*",'Accounting data'!$K$2:$K$37000,"68*")+SUMIFS('Accounting data'!$G$2:$G$37000,'Accounting data'!$I$2:$I$37000,"9*",'Accounting data'!$J$2:$J$37000,"31*",'Accounting data'!$K$2:$K$37000,"68*")</f>
        <v>0</v>
      </c>
    </row>
    <row r="1498" spans="1:5" x14ac:dyDescent="0.2">
      <c r="A1498" s="524" t="s">
        <v>992</v>
      </c>
      <c r="B1498" s="522" t="s">
        <v>993</v>
      </c>
      <c r="C1498" s="522">
        <v>3100</v>
      </c>
      <c r="D1498" s="522">
        <v>6800</v>
      </c>
      <c r="E1498" s="523">
        <f t="array" ref="E1498">SUMIFS('Accounting data'!$G$2:$G$37000,'Accounting data'!$H$2:$H$37000,"9999*",'Accounting data'!$I$2:$I$37000,"7*",'Accounting data'!$J$2:$J$37000,"31*",'Accounting data'!$K$2:$K$37000,"68*")+SUMIFS('Accounting data'!$G$2:$G$37000,'Accounting data'!$H$2:$H$37000,"9999*",'Accounting data'!$I$2:$I$37000,"8*",'Accounting data'!$J$2:$J$37000,"31*",'Accounting data'!$K$2:$K$37000,"68*")+SUMIFS('Accounting data'!$G$2:$G$37000,'Accounting data'!$H$2:$H$37000,"9999*",'Accounting data'!$I$2:$I$37000,"9*",'Accounting data'!$J$2:$J$37000,"31*",'Accounting data'!$K$2:$K$37000,"68*")</f>
        <v>0</v>
      </c>
    </row>
    <row r="1499" spans="1:5" ht="15" x14ac:dyDescent="0.25">
      <c r="A1499" s="525" t="s">
        <v>1115</v>
      </c>
      <c r="B1499" s="525"/>
      <c r="C1499" s="525"/>
      <c r="D1499" s="525"/>
      <c r="E1499" s="526">
        <f>(E1495-E1496-E1497)+E1498</f>
        <v>0</v>
      </c>
    </row>
    <row r="1500" spans="1:5" x14ac:dyDescent="0.2">
      <c r="A1500" s="522" t="s">
        <v>991</v>
      </c>
      <c r="B1500" s="522" t="s">
        <v>991</v>
      </c>
      <c r="C1500" s="522">
        <v>3400</v>
      </c>
      <c r="D1500" s="522">
        <v>6800</v>
      </c>
      <c r="E1500" s="523">
        <f t="array" ref="E1500">SUMIFS('Accounting data'!$G$2:$G$37000,'Accounting data'!$J$2:$J$37000,"34*",'Accounting data'!$K$2:$K$37000,"68*")</f>
        <v>0</v>
      </c>
    </row>
    <row r="1501" spans="1:5" x14ac:dyDescent="0.2">
      <c r="A1501" s="522" t="s">
        <v>992</v>
      </c>
      <c r="B1501" s="522" t="s">
        <v>991</v>
      </c>
      <c r="C1501" s="522">
        <v>3400</v>
      </c>
      <c r="D1501" s="522">
        <v>6800</v>
      </c>
      <c r="E1501" s="523">
        <f t="array" ref="E1501">SUMIFS('Accounting data'!$G$2:$G$37000,'Accounting data'!$H$2:$H$37000,"9999*",'Accounting data'!$J$2:$J$37000,"34*",'Accounting data'!$K$2:$K$37000,"68*")</f>
        <v>0</v>
      </c>
    </row>
    <row r="1502" spans="1:5" x14ac:dyDescent="0.2">
      <c r="A1502" s="522" t="s">
        <v>991</v>
      </c>
      <c r="B1502" s="522" t="s">
        <v>993</v>
      </c>
      <c r="C1502" s="522">
        <v>3400</v>
      </c>
      <c r="D1502" s="522">
        <v>6800</v>
      </c>
      <c r="E1502" s="523">
        <f t="array" ref="E1502">SUMIFS('Accounting data'!$G$2:$G$37000,'Accounting data'!$I$2:$I$37000,"7*",'Accounting data'!$J$2:$J$37000,"34*",'Accounting data'!$K$2:$K$37000,"68*")+SUMIFS('Accounting data'!$G$2:$G$37000,'Accounting data'!$I$2:$I$37000,"8*",'Accounting data'!$J$2:$J$37000,"34*",'Accounting data'!$K$2:$K$37000,"68*")+SUMIFS('Accounting data'!$G$2:$G$37000,'Accounting data'!$I$2:$I$37000,"9*",'Accounting data'!$J$2:$J$37000,"34*",'Accounting data'!$K$2:$K$37000,"68*")</f>
        <v>0</v>
      </c>
    </row>
    <row r="1503" spans="1:5" x14ac:dyDescent="0.2">
      <c r="A1503" s="524" t="s">
        <v>992</v>
      </c>
      <c r="B1503" s="522" t="s">
        <v>993</v>
      </c>
      <c r="C1503" s="522">
        <v>3400</v>
      </c>
      <c r="D1503" s="522">
        <v>6800</v>
      </c>
      <c r="E1503" s="523">
        <f t="array" ref="E1503">SUMIFS('Accounting data'!$G$2:$G$37000,'Accounting data'!$H$2:$H$37000,"9999*",'Accounting data'!$I$2:$I$37000,"7*",'Accounting data'!$J$2:$J$37000,"34*",'Accounting data'!$K$2:$K$37000,"68*")+SUMIFS('Accounting data'!$G$2:$G$37000,'Accounting data'!$H$2:$H$37000,"9999*",'Accounting data'!$I$2:$I$37000,"8*",'Accounting data'!$J$2:$J$37000,"34*",'Accounting data'!$K$2:$K$37000,"68*")+SUMIFS('Accounting data'!$G$2:$G$37000,'Accounting data'!$H$2:$H$37000,"9999*",'Accounting data'!$I$2:$I$37000,"9*",'Accounting data'!$J$2:$J$37000,"34*",'Accounting data'!$K$2:$K$37000,"68*")</f>
        <v>0</v>
      </c>
    </row>
    <row r="1504" spans="1:5" ht="15" x14ac:dyDescent="0.25">
      <c r="A1504" s="525" t="s">
        <v>1116</v>
      </c>
      <c r="B1504" s="525"/>
      <c r="C1504" s="525"/>
      <c r="D1504" s="525"/>
      <c r="E1504" s="526">
        <f>(E1500-E1501-E1502)+E1503</f>
        <v>0</v>
      </c>
    </row>
    <row r="1505" spans="1:5" ht="15" x14ac:dyDescent="0.25">
      <c r="A1505" s="528" t="s">
        <v>1117</v>
      </c>
      <c r="B1505" s="528"/>
      <c r="C1505" s="528"/>
      <c r="D1505" s="528"/>
      <c r="E1505" s="529">
        <f>E1454+E1459+E1464+E1469+E1474+E1479+E1484+E1489+E1494+E1499+E1504</f>
        <v>15083</v>
      </c>
    </row>
    <row r="1506" spans="1:5" x14ac:dyDescent="0.2">
      <c r="A1506" s="522" t="s">
        <v>1007</v>
      </c>
      <c r="B1506" s="522" t="s">
        <v>991</v>
      </c>
      <c r="C1506" s="522">
        <v>1000</v>
      </c>
      <c r="D1506" s="522">
        <v>6800</v>
      </c>
      <c r="E1506" s="523">
        <f>SUMIFS('Accounting data'!$G$2:$G$37000,'Accounting data'!$H$2:$H$37000,"11*",'Accounting data'!$J$2:$J$37000,"1*",'Accounting data'!$K$2:$K$37000,"68*")+SUMIFS('Accounting data'!$G$2:$G$37000,'Accounting data'!$H$2:$H$37000,"12*",'Accounting data'!$J$2:$J$37000,"1*",'Accounting data'!$K$2:$K$37000,"68*")+SUMIFS('Accounting data'!$G$2:$G$37000,'Accounting data'!$H$2:$H$37000,"13*",'Accounting data'!$J$2:$J$37000,"1*",'Accounting data'!$K$2:$K$37000,"68*")</f>
        <v>0</v>
      </c>
    </row>
    <row r="1507" spans="1:5" x14ac:dyDescent="0.2">
      <c r="A1507" s="522" t="s">
        <v>1007</v>
      </c>
      <c r="B1507" s="522" t="s">
        <v>991</v>
      </c>
      <c r="C1507" s="522">
        <v>2000</v>
      </c>
      <c r="D1507" s="522">
        <v>6800</v>
      </c>
      <c r="E1507" s="523">
        <f>SUMIFS('Accounting data'!$G$2:$G$37000,'Accounting data'!$H$2:$H$37000,"11*",'Accounting data'!$J$2:$J$37000,"2*",'Accounting data'!$K$2:$K$37000,"68*")+SUMIFS('Accounting data'!$G$2:$G$37000,'Accounting data'!$H$2:$H$37000,"12*",'Accounting data'!$J$2:$J$37000,"2*",'Accounting data'!$K$2:$K$37000,"68*")+SUMIFS('Accounting data'!$G$2:$G$37000,'Accounting data'!$H$2:$H$37000,"13*",'Accounting data'!$J$2:$J$37000,"2*",'Accounting data'!$K$2:$K$37000,"68*")</f>
        <v>0</v>
      </c>
    </row>
    <row r="1508" spans="1:5" x14ac:dyDescent="0.2">
      <c r="A1508" s="522" t="s">
        <v>1007</v>
      </c>
      <c r="B1508" s="522" t="s">
        <v>991</v>
      </c>
      <c r="C1508" s="522">
        <v>3000</v>
      </c>
      <c r="D1508" s="522">
        <v>6800</v>
      </c>
      <c r="E1508" s="523">
        <f>SUMIFS('Accounting data'!$G$2:$G$37000,'Accounting data'!$H$2:$H$37000,"11*",'Accounting data'!$J$2:$J$37000,"3*",'Accounting data'!$K$2:$K$37000,"68*")+SUMIFS('Accounting data'!$G$2:$G$37000,'Accounting data'!$H$2:$H$37000,"12*",'Accounting data'!$J$2:$J$37000,"3*",'Accounting data'!$K$2:$K$37000,"68*")+SUMIFS('Accounting data'!$G$2:$G$37000,'Accounting data'!$H$2:$H$37000,"13*",'Accounting data'!$J$2:$J$37000,"3*",'Accounting data'!$K$2:$K$37000,"68*")</f>
        <v>0</v>
      </c>
    </row>
    <row r="1509" spans="1:5" x14ac:dyDescent="0.2">
      <c r="A1509" s="522" t="s">
        <v>1007</v>
      </c>
      <c r="B1509" s="524">
        <v>700</v>
      </c>
      <c r="C1509" s="522">
        <v>1000</v>
      </c>
      <c r="D1509" s="522">
        <v>6800</v>
      </c>
      <c r="E1509" s="523">
        <f>SUMIFS('Accounting data'!$G$2:$G$37000,'Accounting data'!$H$2:$H$37000,"11*",'Accounting data'!$I$2:$I$37000,"7*",'Accounting data'!$J$2:$J$37000,"1*",'Accounting data'!$K$2:$K$37000,"68*")+SUMIFS('Accounting data'!$G$2:$G$37000,'Accounting data'!$H$2:$H$37000,"12*",'Accounting data'!$I$2:$I$37000,"7*",'Accounting data'!$J$2:$J$37000,"1*",'Accounting data'!$K$2:$K$37000,"68*")+SUMIFS('Accounting data'!$G$2:$G$37000,'Accounting data'!$H$2:$H$37000,"13*",'Accounting data'!$I$2:$I$37000,"7*",'Accounting data'!$J$2:$J$37000,"1*",'Accounting data'!$K$2:$K$37000,"68*")</f>
        <v>0</v>
      </c>
    </row>
    <row r="1510" spans="1:5" x14ac:dyDescent="0.2">
      <c r="A1510" s="522" t="s">
        <v>1007</v>
      </c>
      <c r="B1510" s="524">
        <v>800</v>
      </c>
      <c r="C1510" s="522">
        <v>1000</v>
      </c>
      <c r="D1510" s="522">
        <v>6800</v>
      </c>
      <c r="E1510" s="523">
        <f>SUMIFS('Accounting data'!$G$2:$G$37000,'Accounting data'!$H$2:$H$37000,"11*",'Accounting data'!$I$2:$I$37000,"8*",'Accounting data'!$J$2:$J$37000,"1*",'Accounting data'!$K$2:$K$37000,"68*")+SUMIFS('Accounting data'!$G$2:$G$37000,'Accounting data'!$H$2:$H$37000,"12*",'Accounting data'!$I$2:$I$37000,"8*",'Accounting data'!$J$2:$J$37000,"1*",'Accounting data'!$K$2:$K$37000,"68*")+SUMIFS('Accounting data'!$G$2:$G$37000,'Accounting data'!$H$2:$H$37000,"13*",'Accounting data'!$I$2:$I$37000,"8*",'Accounting data'!$J$2:$J$37000,"1*",'Accounting data'!$K$2:$K$37000,"68*")</f>
        <v>0</v>
      </c>
    </row>
    <row r="1511" spans="1:5" x14ac:dyDescent="0.2">
      <c r="A1511" s="522" t="s">
        <v>1007</v>
      </c>
      <c r="B1511" s="524">
        <v>900</v>
      </c>
      <c r="C1511" s="522">
        <v>1000</v>
      </c>
      <c r="D1511" s="522">
        <v>6800</v>
      </c>
      <c r="E1511" s="523">
        <f>SUMIFS('Accounting data'!$G$2:$G$37000,'Accounting data'!$H$2:$H$37000,"11*",'Accounting data'!$I$2:$I$37000,"9*",'Accounting data'!$J$2:$J$37000,"1*",'Accounting data'!$K$2:$K$37000,"68*")+SUMIFS('Accounting data'!$G$2:$G$37000,'Accounting data'!$H$2:$H$37000,"12*",'Accounting data'!$I$2:$I$37000,"9*",'Accounting data'!$J$2:$J$37000,"1*",'Accounting data'!$K$2:$K$37000,"68*")+SUMIFS('Accounting data'!$G$2:$G$37000,'Accounting data'!$H$2:$H$37000,"13*",'Accounting data'!$I$2:$I$37000,"9*",'Accounting data'!$J$2:$J$37000,"1*",'Accounting data'!$K$2:$K$37000,"68*")</f>
        <v>0</v>
      </c>
    </row>
    <row r="1512" spans="1:5" x14ac:dyDescent="0.2">
      <c r="A1512" s="522" t="s">
        <v>1007</v>
      </c>
      <c r="B1512" s="524">
        <v>700</v>
      </c>
      <c r="C1512" s="522">
        <v>2000</v>
      </c>
      <c r="D1512" s="522">
        <v>6800</v>
      </c>
      <c r="E1512" s="523">
        <f>SUMIFS('Accounting data'!$G$2:$G$37000,'Accounting data'!$H$2:$H$37000,"11*",'Accounting data'!$I$2:$I$37000,"7*",'Accounting data'!$J$2:$J$37000,"2*",'Accounting data'!$K$2:$K$37000,"68*")+SUMIFS('Accounting data'!$G$2:$G$37000,'Accounting data'!$H$2:$H$37000,"12*",'Accounting data'!$I$2:$I$37000,"7*",'Accounting data'!$J$2:$J$37000,"2*",'Accounting data'!$K$2:$K$37000,"68*")+SUMIFS('Accounting data'!$G$2:$G$37000,'Accounting data'!$H$2:$H$37000,"13*",'Accounting data'!$I$2:$I$37000,"7*",'Accounting data'!$J$2:$J$37000,"2*",'Accounting data'!$K$2:$K$37000,"68*")</f>
        <v>0</v>
      </c>
    </row>
    <row r="1513" spans="1:5" x14ac:dyDescent="0.2">
      <c r="A1513" s="522" t="s">
        <v>1007</v>
      </c>
      <c r="B1513" s="524">
        <v>800</v>
      </c>
      <c r="C1513" s="522">
        <v>2000</v>
      </c>
      <c r="D1513" s="522">
        <v>6800</v>
      </c>
      <c r="E1513" s="523">
        <f>SUMIFS('Accounting data'!$G$2:$G$37000,'Accounting data'!$H$2:$H$37000,"11*",'Accounting data'!$I$2:$I$37000,"8*",'Accounting data'!$J$2:$J$37000,"2*",'Accounting data'!$K$2:$K$37000,"68*")+SUMIFS('Accounting data'!$G$2:$G$37000,'Accounting data'!$H$2:$H$37000,"12*",'Accounting data'!$I$2:$I$37000,"8*",'Accounting data'!$J$2:$J$37000,"2*",'Accounting data'!$K$2:$K$37000,"68*")+SUMIFS('Accounting data'!$G$2:$G$37000,'Accounting data'!$H$2:$H$37000,"13*",'Accounting data'!$I$2:$I$37000,"8*",'Accounting data'!$J$2:$J$37000,"2*",'Accounting data'!$K$2:$K$37000,"68*")</f>
        <v>0</v>
      </c>
    </row>
    <row r="1514" spans="1:5" x14ac:dyDescent="0.2">
      <c r="A1514" s="522" t="s">
        <v>1007</v>
      </c>
      <c r="B1514" s="524">
        <v>900</v>
      </c>
      <c r="C1514" s="522">
        <v>2000</v>
      </c>
      <c r="D1514" s="522">
        <v>6800</v>
      </c>
      <c r="E1514" s="523">
        <f>SUMIFS('Accounting data'!$G$2:$G$37000,'Accounting data'!$H$2:$H$37000,"11*",'Accounting data'!$I$2:$I$37000,"9*",'Accounting data'!$J$2:$J$37000,"2*",'Accounting data'!$K$2:$K$37000,"68*")+SUMIFS('Accounting data'!$G$2:$G$37000,'Accounting data'!$H$2:$H$37000,"12*",'Accounting data'!$I$2:$I$37000,"9*",'Accounting data'!$J$2:$J$37000,"2*",'Accounting data'!$K$2:$K$37000,"68*")+SUMIFS('Accounting data'!$G$2:$G$37000,'Accounting data'!$H$2:$H$37000,"13*",'Accounting data'!$I$2:$I$37000,"9*",'Accounting data'!$J$2:$J$37000,"2*",'Accounting data'!$K$2:$K$37000,"68*")</f>
        <v>0</v>
      </c>
    </row>
    <row r="1515" spans="1:5" x14ac:dyDescent="0.2">
      <c r="A1515" s="522" t="s">
        <v>1007</v>
      </c>
      <c r="B1515" s="524">
        <v>700</v>
      </c>
      <c r="C1515" s="522">
        <v>3000</v>
      </c>
      <c r="D1515" s="522">
        <v>6800</v>
      </c>
      <c r="E1515" s="523">
        <f>SUMIFS('Accounting data'!$G$2:$G$37000,'Accounting data'!$H$2:$H$37000,"11*",'Accounting data'!$I$2:$I$37000,"7*",'Accounting data'!$J$2:$J$37000,"3*",'Accounting data'!$K$2:$K$37000,"68*")+SUMIFS('Accounting data'!$G$2:$G$37000,'Accounting data'!$H$2:$H$37000,"12*",'Accounting data'!$I$2:$I$37000,"7*",'Accounting data'!$J$2:$J$37000,"3*",'Accounting data'!$K$2:$K$37000,"68*")+SUMIFS('Accounting data'!$G$2:$G$37000,'Accounting data'!$H$2:$H$37000,"13*",'Accounting data'!$I$2:$I$37000,"7*",'Accounting data'!$J$2:$J$37000,"3*",'Accounting data'!$K$2:$K$37000,"68*")</f>
        <v>0</v>
      </c>
    </row>
    <row r="1516" spans="1:5" x14ac:dyDescent="0.2">
      <c r="A1516" s="522" t="s">
        <v>1007</v>
      </c>
      <c r="B1516" s="524">
        <v>800</v>
      </c>
      <c r="C1516" s="522">
        <v>3000</v>
      </c>
      <c r="D1516" s="522">
        <v>6800</v>
      </c>
      <c r="E1516" s="523">
        <f>SUMIFS('Accounting data'!$G$2:$G$37000,'Accounting data'!$H$2:$H$37000,"11*",'Accounting data'!$I$2:$I$37000,"8*",'Accounting data'!$J$2:$J$37000,"3*",'Accounting data'!$K$2:$K$37000,"68*")+SUMIFS('Accounting data'!$G$2:$G$37000,'Accounting data'!$H$2:$H$37000,"12*",'Accounting data'!$I$2:$I$37000,"8*",'Accounting data'!$J$2:$J$37000,"3*",'Accounting data'!$K$2:$K$37000,"68*")+SUMIFS('Accounting data'!$G$2:$G$37000,'Accounting data'!$H$2:$H$37000,"13*",'Accounting data'!$I$2:$I$37000,"8*",'Accounting data'!$J$2:$J$37000,"3*",'Accounting data'!$K$2:$K$37000,"68*")</f>
        <v>0</v>
      </c>
    </row>
    <row r="1517" spans="1:5" x14ac:dyDescent="0.2">
      <c r="A1517" s="522" t="s">
        <v>1007</v>
      </c>
      <c r="B1517" s="524">
        <v>900</v>
      </c>
      <c r="C1517" s="522">
        <v>3000</v>
      </c>
      <c r="D1517" s="522">
        <v>6800</v>
      </c>
      <c r="E1517" s="523">
        <f>SUMIFS('Accounting data'!$G$2:$G$37000,'Accounting data'!$H$2:$H$37000,"11*",'Accounting data'!$I$2:$I$37000,"9*",'Accounting data'!$J$2:$J$37000,"3*",'Accounting data'!$K$2:$K$37000,"68*")+SUMIFS('Accounting data'!$G$2:$G$37000,'Accounting data'!$H$2:$H$37000,"12*",'Accounting data'!$I$2:$I$37000,"9*",'Accounting data'!$J$2:$J$37000,"3*",'Accounting data'!$K$2:$K$37000,"68*")+SUMIFS('Accounting data'!$G$2:$G$37000,'Accounting data'!$H$2:$H$37000,"13*",'Accounting data'!$I$2:$I$37000,"9*",'Accounting data'!$J$2:$J$37000,"3*",'Accounting data'!$K$2:$K$37000,"68*")</f>
        <v>0</v>
      </c>
    </row>
    <row r="1518" spans="1:5" x14ac:dyDescent="0.2">
      <c r="A1518" s="525" t="s">
        <v>1118</v>
      </c>
      <c r="B1518" s="525"/>
      <c r="C1518" s="525"/>
      <c r="D1518" s="525"/>
      <c r="E1518" s="535">
        <f>(E1506+E1507+E1508)-(E1509+E1510+E1511+E1512+E1513+E1514+E1515+E1516+E1517)</f>
        <v>0</v>
      </c>
    </row>
    <row r="1519" spans="1:5" x14ac:dyDescent="0.2">
      <c r="A1519" s="522" t="s">
        <v>991</v>
      </c>
      <c r="B1519" s="522" t="s">
        <v>991</v>
      </c>
      <c r="C1519" s="522">
        <v>4000</v>
      </c>
      <c r="D1519" s="522">
        <v>6800</v>
      </c>
      <c r="E1519" s="523">
        <f>SUMIFS('Accounting data'!G$2:G$37000,'Accounting data'!J$2:J$37000,"4*",'Accounting data'!K$2:K$37000,"68*")</f>
        <v>0</v>
      </c>
    </row>
    <row r="1520" spans="1:5" x14ac:dyDescent="0.2">
      <c r="A1520" s="522" t="s">
        <v>992</v>
      </c>
      <c r="B1520" s="522" t="s">
        <v>991</v>
      </c>
      <c r="C1520" s="522">
        <v>4000</v>
      </c>
      <c r="D1520" s="522">
        <v>6800</v>
      </c>
      <c r="E1520" s="523">
        <f t="array" ref="E1520">SUMIFS('Accounting data'!$G$2:$G$37000,'Accounting data'!$H$2:$H$37000,"9999*",'Accounting data'!$J$2:$J$37000,"4*",'Accounting data'!$K$2:$K$37000,"68*")</f>
        <v>0</v>
      </c>
    </row>
    <row r="1521" spans="1:5" x14ac:dyDescent="0.2">
      <c r="A1521" s="522" t="s">
        <v>991</v>
      </c>
      <c r="B1521" s="522" t="s">
        <v>993</v>
      </c>
      <c r="C1521" s="522">
        <v>4000</v>
      </c>
      <c r="D1521" s="522">
        <v>6800</v>
      </c>
      <c r="E1521" s="523">
        <f t="array" ref="E1521">SUMIFS('Accounting data'!$G$2:$G$37000,'Accounting data'!$I$2:$I$37000,"7*",'Accounting data'!$J$2:$J$37000,"4*",'Accounting data'!$K$2:$K$37000,"68*")+SUMIFS('Accounting data'!$G$2:$G$37000,'Accounting data'!$I$2:$I$37000,"8*",'Accounting data'!$J$2:$J$37000,"4*",'Accounting data'!$K$2:$K$37000,"68*")+SUMIFS('Accounting data'!$G$2:$G$37000,'Accounting data'!$I$2:$I$37000,"9*",'Accounting data'!$J$2:$J$37000,"4*",'Accounting data'!$K$2:$K$37000,"68*")</f>
        <v>0</v>
      </c>
    </row>
    <row r="1522" spans="1:5" x14ac:dyDescent="0.2">
      <c r="A1522" s="524" t="s">
        <v>992</v>
      </c>
      <c r="B1522" s="522" t="s">
        <v>993</v>
      </c>
      <c r="C1522" s="522">
        <v>4000</v>
      </c>
      <c r="D1522" s="522">
        <v>6800</v>
      </c>
      <c r="E1522" s="523">
        <f t="array" ref="E1522">SUMIFS('Accounting data'!$G$2:$G$37000,'Accounting data'!$H$2:$H$37000,"9999*",'Accounting data'!$I$2:$I$37000,"7*",'Accounting data'!$J$2:$J$37000,"4*",'Accounting data'!$K$2:$K$37000,"68*")+SUMIFS('Accounting data'!$G$2:$G$37000,'Accounting data'!$H$2:$H$37000,"9999*",'Accounting data'!$I$2:$I$37000,"8*",'Accounting data'!$J$2:$J$37000,"4*",'Accounting data'!$K$2:$K$37000,"68*")+SUMIFS('Accounting data'!$G$2:$G$37000,'Accounting data'!$H$2:$H$37000,"9999*",'Accounting data'!$I$2:$I$37000,"9*",'Accounting data'!$J$2:$J$37000,"4*",'Accounting data'!$K$2:$K$37000,"68*")</f>
        <v>0</v>
      </c>
    </row>
    <row r="1523" spans="1:5" ht="15" x14ac:dyDescent="0.25">
      <c r="A1523" s="525" t="s">
        <v>1119</v>
      </c>
      <c r="B1523" s="525"/>
      <c r="C1523" s="525"/>
      <c r="D1523" s="525"/>
      <c r="E1523" s="526">
        <f>(E1519-E1520-E1521)+E1522</f>
        <v>0</v>
      </c>
    </row>
    <row r="1524" spans="1:5" x14ac:dyDescent="0.2">
      <c r="A1524" s="522" t="s">
        <v>991</v>
      </c>
      <c r="B1524" s="522" t="s">
        <v>991</v>
      </c>
      <c r="C1524" s="522">
        <v>1900</v>
      </c>
      <c r="D1524" s="522">
        <v>6100</v>
      </c>
      <c r="E1524" s="523">
        <f>SUMIFS('Accounting data'!$G$2:$G$37000,'Accounting data'!$J$2:$J$37000,"19*",'Accounting data'!$K$2:$K$37000,"61*")</f>
        <v>0</v>
      </c>
    </row>
    <row r="1525" spans="1:5" x14ac:dyDescent="0.2">
      <c r="A1525" s="522" t="s">
        <v>992</v>
      </c>
      <c r="B1525" s="522" t="s">
        <v>991</v>
      </c>
      <c r="C1525" s="522">
        <v>1900</v>
      </c>
      <c r="D1525" s="522">
        <v>6100</v>
      </c>
      <c r="E1525" s="523">
        <f>SUMIFS('Accounting data'!$G$2:$G$37000,'Accounting data'!$H$2:$H$37000,"9999*",'Accounting data'!$J$2:$J$37000,"19*",'Accounting data'!$K$2:$K$37000,"61*")</f>
        <v>0</v>
      </c>
    </row>
    <row r="1526" spans="1:5" x14ac:dyDescent="0.2">
      <c r="A1526" s="522" t="s">
        <v>991</v>
      </c>
      <c r="B1526" s="522" t="s">
        <v>993</v>
      </c>
      <c r="C1526" s="522">
        <v>1900</v>
      </c>
      <c r="D1526" s="522">
        <v>6100</v>
      </c>
      <c r="E1526" s="523">
        <f>SUMIFS('Accounting data'!$G$2:$G$37000,'Accounting data'!$I$2:$I$37000,"7*",'Accounting data'!$J$2:$J$37000,"19*",'Accounting data'!$K$2:$K$37000,"61*")+SUMIFS('Accounting data'!$G$2:$G$37000,'Accounting data'!$I$2:$I$37000,"8*",'Accounting data'!$J$2:$J$37000,"19*",'Accounting data'!$K$2:$K$37000,"61*")+SUMIFS('Accounting data'!$G$2:$G$37000,'Accounting data'!$I$2:$I$37000,"9*",'Accounting data'!$J$2:$J$37000,"19*",'Accounting data'!$K$2:$K$37000,"61*")</f>
        <v>0</v>
      </c>
    </row>
    <row r="1527" spans="1:5" x14ac:dyDescent="0.2">
      <c r="A1527" s="524" t="s">
        <v>992</v>
      </c>
      <c r="B1527" s="522" t="s">
        <v>993</v>
      </c>
      <c r="C1527" s="522">
        <v>1900</v>
      </c>
      <c r="D1527" s="522">
        <v>6100</v>
      </c>
      <c r="E1527" s="523">
        <f>SUMIFS('Accounting data'!$G$2:$G$37000,'Accounting data'!$H$2:$H$37000,"9999*",'Accounting data'!$I$2:$I$37000,"7*",'Accounting data'!$J$2:$J$37000,"19*",'Accounting data'!$K$2:$K$37000,"61*")+SUMIFS('Accounting data'!$G$2:$G$37000,'Accounting data'!$H$2:$H$37000,"9999*",'Accounting data'!$I$2:$I$37000,"8*",'Accounting data'!$J$2:$J$37000,"19*",'Accounting data'!$K$2:$K$37000,"61*")+SUMIFS('Accounting data'!$G$2:$G$37000,'Accounting data'!$H$2:$H$37000,"9999*",'Accounting data'!$I$2:$I$37000,"9*",'Accounting data'!$J$2:$J$37000,"19*",'Accounting data'!$K$2:$K$37000,"61*")</f>
        <v>0</v>
      </c>
    </row>
    <row r="1528" spans="1:5" x14ac:dyDescent="0.2">
      <c r="A1528" s="525" t="s">
        <v>1120</v>
      </c>
      <c r="B1528" s="525"/>
      <c r="C1528" s="525"/>
      <c r="D1528" s="525"/>
      <c r="E1528" s="535">
        <f>(E1524-E1525-E1526)+E1527</f>
        <v>0</v>
      </c>
    </row>
    <row r="1529" spans="1:5" x14ac:dyDescent="0.2">
      <c r="A1529" s="522" t="s">
        <v>1007</v>
      </c>
      <c r="B1529" s="522" t="s">
        <v>991</v>
      </c>
      <c r="C1529" s="522">
        <v>1900</v>
      </c>
      <c r="D1529" s="522">
        <v>6100</v>
      </c>
      <c r="E1529" s="523">
        <f t="array" ref="E1529">SUMIFS('Accounting data'!$G$2:$G$37000,'Accounting data'!$H$2:$H$37000,"11*",'Accounting data'!$J$2:$J$37000,"19*",'Accounting data'!$K$2:$K$37000,"61*")+SUMIFS('Accounting data'!$G$2:$G$37000,'Accounting data'!$H$2:$H$37000,"12*",'Accounting data'!$J$2:$J$37000,"19*",'Accounting data'!$K$2:$K$37000,"61*")+SUMIFS('Accounting data'!$G$2:$G$37000,'Accounting data'!$H$2:$H$37000,"13*",'Accounting data'!$J$2:$J$37000,"19*",'Accounting data'!$K$2:$K$37000,"61*")</f>
        <v>0</v>
      </c>
    </row>
    <row r="1530" spans="1:5" x14ac:dyDescent="0.2">
      <c r="A1530" s="522" t="s">
        <v>1007</v>
      </c>
      <c r="B1530" s="524">
        <v>700</v>
      </c>
      <c r="C1530" s="522">
        <v>1900</v>
      </c>
      <c r="D1530" s="522">
        <v>6100</v>
      </c>
      <c r="E1530" s="523">
        <f t="array" ref="E1530">SUMIFS('Accounting data'!$G$2:$G$37000,'Accounting data'!$H$2:$H$37000,"11*",'Accounting data'!$I$2:$I$37000,"7*",'Accounting data'!$J$2:$J$37000,"19*",'Accounting data'!$K$2:$K$37000,"61*")+SUMIFS('Accounting data'!$G$2:$G$37000,'Accounting data'!$H$2:$H$37000,"12*",'Accounting data'!$I$2:$I$37000,"7*",'Accounting data'!$J$2:$J$37000,"19*",'Accounting data'!$K$2:$K$37000,"61*")+SUMIFS('Accounting data'!$G$2:$G$37000,'Accounting data'!$H$2:$H$37000,"13*",'Accounting data'!$I$2:$I$37000,"7*",'Accounting data'!$J$2:$J$37000,"19*",'Accounting data'!$K$2:$K$37000,"61*")</f>
        <v>0</v>
      </c>
    </row>
    <row r="1531" spans="1:5" x14ac:dyDescent="0.2">
      <c r="A1531" s="522" t="s">
        <v>1007</v>
      </c>
      <c r="B1531" s="524">
        <v>800</v>
      </c>
      <c r="C1531" s="522">
        <v>1900</v>
      </c>
      <c r="D1531" s="522">
        <v>6100</v>
      </c>
      <c r="E1531" s="523">
        <f t="array" ref="E1531">SUMIFS('Accounting data'!$G$2:$G$37000,'Accounting data'!$H$2:$H$37000,"11*",'Accounting data'!$I$2:$I$37000,"8*",'Accounting data'!$J$2:$J$37000,"19*",'Accounting data'!$K$2:$K$37000,"61*")+SUMIFS('Accounting data'!$G$2:$G$37000,'Accounting data'!$H$2:$H$37000,"12*",'Accounting data'!$I$2:$I$37000,"8*",'Accounting data'!$J$2:$J$37000,"19*",'Accounting data'!$K$2:$K$37000,"61*")+SUMIFS('Accounting data'!$G$2:$G$37000,'Accounting data'!$H$2:$H$37000,"13*",'Accounting data'!$I$2:$I$37000,"8*",'Accounting data'!$J$2:$J$37000,"19*",'Accounting data'!$K$2:$K$37000,"61*")</f>
        <v>0</v>
      </c>
    </row>
    <row r="1532" spans="1:5" x14ac:dyDescent="0.2">
      <c r="A1532" s="522" t="s">
        <v>1007</v>
      </c>
      <c r="B1532" s="524">
        <v>900</v>
      </c>
      <c r="C1532" s="522">
        <v>1900</v>
      </c>
      <c r="D1532" s="522">
        <v>6100</v>
      </c>
      <c r="E1532" s="523">
        <f t="array" ref="E1532">SUMIFS('Accounting data'!$G$2:$G$37000,'Accounting data'!$H$2:$H$37000,"11*",'Accounting data'!$I$2:$I$37000,"9*",'Accounting data'!$J$2:$J$37000,"19*",'Accounting data'!$K$2:$K$37000,"61*")+SUMIFS('Accounting data'!$G$2:$G$37000,'Accounting data'!$H$2:$H$37000,"12*",'Accounting data'!$I$2:$I$37000,"9*",'Accounting data'!$J$2:$J$37000,"19*",'Accounting data'!$K$2:$K$37000,"61*")+SUMIFS('Accounting data'!$G$2:$G$37000,'Accounting data'!$H$2:$H$37000,"13*",'Accounting data'!$I$2:$I$37000,"9*",'Accounting data'!$J$2:$J$37000,"19*",'Accounting data'!$K$2:$K$37000,"61*")</f>
        <v>0</v>
      </c>
    </row>
    <row r="1533" spans="1:5" x14ac:dyDescent="0.2">
      <c r="A1533" s="525" t="s">
        <v>1121</v>
      </c>
      <c r="B1533" s="525"/>
      <c r="C1533" s="525"/>
      <c r="D1533" s="525"/>
      <c r="E1533" s="535">
        <f>E1529-(E1530+E1531+E1532)</f>
        <v>0</v>
      </c>
    </row>
    <row r="1534" spans="1:5" x14ac:dyDescent="0.2">
      <c r="A1534" s="528" t="s">
        <v>1122</v>
      </c>
      <c r="B1534" s="528"/>
      <c r="C1534" s="528"/>
      <c r="D1534" s="528"/>
      <c r="E1534" s="532">
        <f>E1528-E1533</f>
        <v>0</v>
      </c>
    </row>
    <row r="1535" spans="1:5" x14ac:dyDescent="0.2">
      <c r="A1535" s="536" t="s">
        <v>991</v>
      </c>
      <c r="B1535" s="536" t="s">
        <v>991</v>
      </c>
      <c r="C1535" s="536">
        <v>5000</v>
      </c>
      <c r="D1535" s="536">
        <v>6800</v>
      </c>
      <c r="E1535" s="537">
        <f>SUMIFS('Accounting data'!G$2:G$37000,'Accounting data'!J$2:J$37000,"5*",'Accounting data'!K$2:K$37000,"68*")</f>
        <v>0</v>
      </c>
    </row>
    <row r="1536" spans="1:5" x14ac:dyDescent="0.2">
      <c r="A1536" s="536" t="s">
        <v>992</v>
      </c>
      <c r="B1536" s="536" t="s">
        <v>991</v>
      </c>
      <c r="C1536" s="536">
        <v>5000</v>
      </c>
      <c r="D1536" s="536">
        <v>6800</v>
      </c>
      <c r="E1536" s="537">
        <f>SUMIFS('Accounting data'!$G$2:$G$37000,'Accounting data'!$H$2:$H$37000,"9999*",'Accounting data'!$J$2:$J$37000,"5*",'Accounting data'!$K$2:$K$37000,"68*")</f>
        <v>0</v>
      </c>
    </row>
    <row r="1537" spans="1:5" x14ac:dyDescent="0.2">
      <c r="A1537" s="536" t="s">
        <v>991</v>
      </c>
      <c r="B1537" s="536" t="s">
        <v>993</v>
      </c>
      <c r="C1537" s="536">
        <v>5000</v>
      </c>
      <c r="D1537" s="536">
        <v>6800</v>
      </c>
      <c r="E1537" s="537">
        <f>SUMIFS('Accounting data'!$G$2:$G$37000,'Accounting data'!$I$2:$I$37000,"7*",'Accounting data'!$J$2:$J$37000,"5*",'Accounting data'!$K$2:$K$37000,"68*")+SUMIFS('Accounting data'!$G$2:$G$37000,'Accounting data'!$I$2:$I$37000,"8*",'Accounting data'!$J$2:$J$37000,"5*",'Accounting data'!$K$2:$K$37000,"68*")+SUMIFS('Accounting data'!$G$2:$G$37000,'Accounting data'!$I$2:$I$37000,"9*",'Accounting data'!$J$2:$J$37000,"5*",'Accounting data'!$K$2:$K$37000,"68*")</f>
        <v>0</v>
      </c>
    </row>
    <row r="1538" spans="1:5" x14ac:dyDescent="0.2">
      <c r="A1538" s="538" t="s">
        <v>992</v>
      </c>
      <c r="B1538" s="536" t="s">
        <v>993</v>
      </c>
      <c r="C1538" s="536">
        <v>5000</v>
      </c>
      <c r="D1538" s="536">
        <v>6800</v>
      </c>
      <c r="E1538" s="537">
        <f>SUMIFS('Accounting data'!$G$2:$G$37000,'Accounting data'!$H$2:$H$37000,"9999*",'Accounting data'!$I$2:$I$37000,"7*",'Accounting data'!$J$2:$J$37000,"5*",'Accounting data'!$K$2:$K$37000,"68*")+SUMIFS('Accounting data'!$G$2:$G$37000,'Accounting data'!$H$2:$H$37000,"9999*",'Accounting data'!$I$2:$I$37000,"8*",'Accounting data'!$J$2:$J$37000,"5*",'Accounting data'!$K$2:$K$37000,"68*")+SUMIFS('Accounting data'!$G$2:$G$37000,'Accounting data'!$H$2:$H$37000,"9999*",'Accounting data'!$I$2:$I$37000,"9*",'Accounting data'!$J$2:$J$37000,"5*",'Accounting data'!$K$2:$K$37000,"68*")</f>
        <v>0</v>
      </c>
    </row>
    <row r="1539" spans="1:5" ht="15" x14ac:dyDescent="0.25">
      <c r="A1539" s="539" t="s">
        <v>1123</v>
      </c>
      <c r="B1539" s="539"/>
      <c r="C1539" s="539"/>
      <c r="D1539" s="539"/>
      <c r="E1539" s="526">
        <f>(E1535-E1536-E1537)+E1538</f>
        <v>0</v>
      </c>
    </row>
  </sheetData>
  <sheetProtection sheet="1" objects="1" scenarios="1"/>
  <autoFilter ref="A1:E1534" xr:uid="{00000000-0009-0000-0000-000012000000}"/>
  <printOptions horizontalCentered="1"/>
  <pageMargins left="0.7" right="0.7" top="0.75" bottom="0.75" header="0.3" footer="0.3"/>
  <pageSetup scale="28" fitToHeight="8" orientation="portrait" r:id="rId1"/>
  <headerFooter>
    <oddFooter>&amp;LRev. 8/25 Arizona Department of Education and Auditor General&amp;CFY 2025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EF4-8459-440D-AC21-22BDF4A2DA81}">
  <sheetPr>
    <pageSetUpPr fitToPage="1"/>
  </sheetPr>
  <dimension ref="A1:D141"/>
  <sheetViews>
    <sheetView showGridLines="0" topLeftCell="A29" workbookViewId="0">
      <selection activeCell="C35" sqref="C35"/>
    </sheetView>
  </sheetViews>
  <sheetFormatPr defaultColWidth="9.33203125" defaultRowHeight="12.75" x14ac:dyDescent="0.2"/>
  <cols>
    <col min="1" max="1" width="11.83203125" style="154" customWidth="1"/>
    <col min="2" max="2" width="25" style="154" customWidth="1"/>
    <col min="3" max="3" width="112.1640625" style="154" customWidth="1"/>
    <col min="4" max="4" width="32.6640625" style="515" customWidth="1"/>
    <col min="5" max="5" width="9.33203125" style="154" customWidth="1"/>
    <col min="6" max="6" width="17.6640625" style="154" customWidth="1"/>
    <col min="7" max="10" width="9.33203125" style="154" customWidth="1"/>
    <col min="11" max="16384" width="9.33203125" style="154"/>
  </cols>
  <sheetData>
    <row r="1" spans="1:4" ht="24.75" customHeight="1" x14ac:dyDescent="0.2">
      <c r="A1" s="701" t="s">
        <v>724</v>
      </c>
      <c r="B1" s="701" t="s">
        <v>725</v>
      </c>
      <c r="C1" s="701" t="s">
        <v>726</v>
      </c>
      <c r="D1" s="701" t="s">
        <v>727</v>
      </c>
    </row>
    <row r="2" spans="1:4" ht="65.25" customHeight="1" x14ac:dyDescent="0.2">
      <c r="A2" s="993" t="s">
        <v>728</v>
      </c>
      <c r="B2" s="994"/>
      <c r="C2" s="702" t="s">
        <v>729</v>
      </c>
      <c r="D2" s="703"/>
    </row>
    <row r="3" spans="1:4" ht="68.25" customHeight="1" x14ac:dyDescent="0.2">
      <c r="A3" s="995"/>
      <c r="B3" s="996"/>
      <c r="C3" s="704" t="s">
        <v>730</v>
      </c>
      <c r="D3" s="703"/>
    </row>
    <row r="4" spans="1:4" ht="73.5" customHeight="1" x14ac:dyDescent="0.2">
      <c r="A4" s="995"/>
      <c r="B4" s="996"/>
      <c r="C4" s="705" t="s">
        <v>1124</v>
      </c>
      <c r="D4" s="703"/>
    </row>
    <row r="5" spans="1:4" ht="216.75" customHeight="1" x14ac:dyDescent="0.2">
      <c r="A5" s="995"/>
      <c r="B5" s="996"/>
      <c r="C5" s="706" t="s">
        <v>1345</v>
      </c>
      <c r="D5" s="703"/>
    </row>
    <row r="6" spans="1:4" ht="85.5" customHeight="1" x14ac:dyDescent="0.2">
      <c r="A6" s="997"/>
      <c r="B6" s="998"/>
      <c r="C6" s="705" t="s">
        <v>731</v>
      </c>
      <c r="D6" s="703"/>
    </row>
    <row r="7" spans="1:4" ht="54.6" customHeight="1" x14ac:dyDescent="0.2">
      <c r="A7" s="510" t="s">
        <v>732</v>
      </c>
      <c r="B7" s="707" t="s">
        <v>733</v>
      </c>
      <c r="C7" s="705" t="s">
        <v>734</v>
      </c>
      <c r="D7" s="703"/>
    </row>
    <row r="8" spans="1:4" ht="93" customHeight="1" x14ac:dyDescent="0.2">
      <c r="A8" s="510" t="s">
        <v>732</v>
      </c>
      <c r="B8" s="708" t="s">
        <v>1287</v>
      </c>
      <c r="C8" s="687" t="s">
        <v>1296</v>
      </c>
      <c r="D8" s="709" t="s">
        <v>1297</v>
      </c>
    </row>
    <row r="9" spans="1:4" ht="187.5" customHeight="1" x14ac:dyDescent="0.2">
      <c r="A9" s="511" t="s">
        <v>735</v>
      </c>
      <c r="B9" s="707" t="s">
        <v>733</v>
      </c>
      <c r="C9" s="706" t="s">
        <v>1346</v>
      </c>
      <c r="D9" s="703"/>
    </row>
    <row r="10" spans="1:4" ht="189.95" customHeight="1" x14ac:dyDescent="0.2">
      <c r="A10" s="999" t="s">
        <v>736</v>
      </c>
      <c r="B10" s="1001" t="s">
        <v>728</v>
      </c>
      <c r="C10" s="704" t="s">
        <v>737</v>
      </c>
      <c r="D10" s="703"/>
    </row>
    <row r="11" spans="1:4" ht="217.5" customHeight="1" x14ac:dyDescent="0.2">
      <c r="A11" s="1000"/>
      <c r="B11" s="1002"/>
      <c r="C11" s="710" t="s">
        <v>1288</v>
      </c>
      <c r="D11" s="703"/>
    </row>
    <row r="12" spans="1:4" ht="21" customHeight="1" x14ac:dyDescent="0.2">
      <c r="A12" s="512">
        <v>1</v>
      </c>
      <c r="B12" s="711" t="s">
        <v>728</v>
      </c>
      <c r="C12" s="705" t="s">
        <v>738</v>
      </c>
      <c r="D12" s="703"/>
    </row>
    <row r="13" spans="1:4" ht="54" customHeight="1" x14ac:dyDescent="0.2">
      <c r="A13" s="513">
        <v>1</v>
      </c>
      <c r="B13" s="711" t="s">
        <v>739</v>
      </c>
      <c r="C13" s="712" t="s">
        <v>1347</v>
      </c>
      <c r="D13" s="703"/>
    </row>
    <row r="14" spans="1:4" ht="122.25" customHeight="1" x14ac:dyDescent="0.2">
      <c r="A14" s="513">
        <v>1</v>
      </c>
      <c r="B14" s="713" t="s">
        <v>1348</v>
      </c>
      <c r="C14" s="714" t="s">
        <v>740</v>
      </c>
      <c r="D14" s="703"/>
    </row>
    <row r="15" spans="1:4" ht="69.75" customHeight="1" x14ac:dyDescent="0.2">
      <c r="A15" s="513">
        <v>1</v>
      </c>
      <c r="B15" s="713" t="s">
        <v>1349</v>
      </c>
      <c r="C15" s="715" t="s">
        <v>1350</v>
      </c>
      <c r="D15" s="703"/>
    </row>
    <row r="16" spans="1:4" ht="69.75" customHeight="1" x14ac:dyDescent="0.2">
      <c r="A16" s="513">
        <v>1</v>
      </c>
      <c r="B16" s="713" t="s">
        <v>1351</v>
      </c>
      <c r="C16" s="714" t="s">
        <v>741</v>
      </c>
      <c r="D16" s="703"/>
    </row>
    <row r="17" spans="1:4" ht="129" customHeight="1" x14ac:dyDescent="0.2">
      <c r="A17" s="512">
        <v>2</v>
      </c>
      <c r="B17" s="716" t="s">
        <v>742</v>
      </c>
      <c r="C17" s="714" t="s">
        <v>743</v>
      </c>
      <c r="D17" s="705"/>
    </row>
    <row r="18" spans="1:4" ht="54.75" customHeight="1" x14ac:dyDescent="0.2">
      <c r="A18" s="512">
        <v>2</v>
      </c>
      <c r="B18" s="716" t="s">
        <v>744</v>
      </c>
      <c r="C18" s="717" t="s">
        <v>1356</v>
      </c>
      <c r="D18" s="703"/>
    </row>
    <row r="19" spans="1:4" ht="84" customHeight="1" x14ac:dyDescent="0.2">
      <c r="A19" s="590">
        <v>3</v>
      </c>
      <c r="B19" s="716" t="s">
        <v>162</v>
      </c>
      <c r="C19" s="718" t="s">
        <v>745</v>
      </c>
      <c r="D19" s="719"/>
    </row>
    <row r="20" spans="1:4" ht="54" customHeight="1" x14ac:dyDescent="0.2">
      <c r="A20" s="590">
        <v>3</v>
      </c>
      <c r="B20" s="716" t="s">
        <v>746</v>
      </c>
      <c r="C20" s="718" t="s">
        <v>747</v>
      </c>
      <c r="D20" s="720"/>
    </row>
    <row r="21" spans="1:4" ht="42.75" customHeight="1" x14ac:dyDescent="0.2">
      <c r="A21" s="591">
        <v>3</v>
      </c>
      <c r="B21" s="716" t="s">
        <v>748</v>
      </c>
      <c r="C21" s="718" t="s">
        <v>749</v>
      </c>
      <c r="D21" s="720"/>
    </row>
    <row r="22" spans="1:4" ht="69.75" customHeight="1" x14ac:dyDescent="0.2">
      <c r="A22" s="645">
        <v>3</v>
      </c>
      <c r="B22" s="716" t="s">
        <v>750</v>
      </c>
      <c r="C22" s="718" t="s">
        <v>1144</v>
      </c>
      <c r="D22" s="719"/>
    </row>
    <row r="23" spans="1:4" ht="51" customHeight="1" x14ac:dyDescent="0.2">
      <c r="A23" s="645">
        <v>3</v>
      </c>
      <c r="B23" s="708" t="s">
        <v>838</v>
      </c>
      <c r="C23" s="688" t="s">
        <v>1352</v>
      </c>
      <c r="D23" s="721" t="s">
        <v>1383</v>
      </c>
    </row>
    <row r="24" spans="1:4" ht="124.5" customHeight="1" x14ac:dyDescent="0.2">
      <c r="A24" s="590">
        <v>4</v>
      </c>
      <c r="B24" s="716" t="s">
        <v>751</v>
      </c>
      <c r="C24" s="714" t="s">
        <v>752</v>
      </c>
      <c r="D24" s="722"/>
    </row>
    <row r="25" spans="1:4" ht="53.1" customHeight="1" x14ac:dyDescent="0.2">
      <c r="A25" s="645">
        <v>4</v>
      </c>
      <c r="B25" s="708" t="s">
        <v>838</v>
      </c>
      <c r="C25" s="688" t="s">
        <v>1353</v>
      </c>
      <c r="D25" s="709" t="s">
        <v>1384</v>
      </c>
    </row>
    <row r="26" spans="1:4" ht="59.1" customHeight="1" x14ac:dyDescent="0.2">
      <c r="A26" s="645">
        <v>5</v>
      </c>
      <c r="B26" s="708" t="s">
        <v>838</v>
      </c>
      <c r="C26" s="688" t="s">
        <v>1354</v>
      </c>
      <c r="D26" s="709" t="s">
        <v>1385</v>
      </c>
    </row>
    <row r="27" spans="1:4" ht="99.75" customHeight="1" x14ac:dyDescent="0.2">
      <c r="A27" s="590">
        <v>6</v>
      </c>
      <c r="B27" s="716" t="s">
        <v>753</v>
      </c>
      <c r="C27" s="723" t="s">
        <v>1355</v>
      </c>
      <c r="D27" s="703"/>
    </row>
    <row r="28" spans="1:4" ht="93.75" customHeight="1" x14ac:dyDescent="0.2">
      <c r="A28" s="590">
        <v>6</v>
      </c>
      <c r="B28" s="716" t="s">
        <v>754</v>
      </c>
      <c r="C28" s="715" t="s">
        <v>1376</v>
      </c>
      <c r="D28" s="703"/>
    </row>
    <row r="29" spans="1:4" ht="45.75" customHeight="1" x14ac:dyDescent="0.2">
      <c r="A29" s="590">
        <v>6</v>
      </c>
      <c r="B29" s="716" t="s">
        <v>755</v>
      </c>
      <c r="C29" s="715" t="s">
        <v>1357</v>
      </c>
      <c r="D29" s="703"/>
    </row>
    <row r="30" spans="1:4" ht="111" customHeight="1" x14ac:dyDescent="0.2">
      <c r="A30" s="590">
        <v>6</v>
      </c>
      <c r="B30" s="716" t="s">
        <v>756</v>
      </c>
      <c r="C30" s="715" t="s">
        <v>1377</v>
      </c>
      <c r="D30" s="703"/>
    </row>
    <row r="31" spans="1:4" ht="51" x14ac:dyDescent="0.2">
      <c r="A31" s="590">
        <v>6</v>
      </c>
      <c r="B31" s="716" t="s">
        <v>757</v>
      </c>
      <c r="C31" s="715" t="s">
        <v>1358</v>
      </c>
      <c r="D31" s="703"/>
    </row>
    <row r="32" spans="1:4" ht="173.25" customHeight="1" x14ac:dyDescent="0.2">
      <c r="A32" s="590">
        <v>6</v>
      </c>
      <c r="B32" s="716" t="s">
        <v>758</v>
      </c>
      <c r="C32" s="714" t="s">
        <v>759</v>
      </c>
      <c r="D32" s="703"/>
    </row>
    <row r="33" spans="1:4" ht="69.75" customHeight="1" x14ac:dyDescent="0.2">
      <c r="A33" s="590">
        <v>6</v>
      </c>
      <c r="B33" s="724" t="s">
        <v>760</v>
      </c>
      <c r="C33" s="714" t="s">
        <v>761</v>
      </c>
      <c r="D33" s="703"/>
    </row>
    <row r="34" spans="1:4" ht="53.25" customHeight="1" x14ac:dyDescent="0.2">
      <c r="A34" s="590">
        <v>6</v>
      </c>
      <c r="B34" s="725" t="s">
        <v>1257</v>
      </c>
      <c r="C34" s="726" t="s">
        <v>762</v>
      </c>
      <c r="D34" s="727"/>
    </row>
    <row r="35" spans="1:4" ht="77.25" customHeight="1" x14ac:dyDescent="0.2">
      <c r="A35" s="590">
        <v>6</v>
      </c>
      <c r="B35" s="716" t="s">
        <v>763</v>
      </c>
      <c r="C35" s="702" t="s">
        <v>764</v>
      </c>
      <c r="D35" s="703"/>
    </row>
    <row r="36" spans="1:4" ht="45.75" customHeight="1" x14ac:dyDescent="0.2">
      <c r="A36" s="590">
        <v>6</v>
      </c>
      <c r="B36" s="716" t="s">
        <v>765</v>
      </c>
      <c r="C36" s="714" t="s">
        <v>766</v>
      </c>
      <c r="D36" s="703"/>
    </row>
    <row r="37" spans="1:4" ht="47.25" customHeight="1" x14ac:dyDescent="0.2">
      <c r="A37" s="590">
        <v>6</v>
      </c>
      <c r="B37" s="716" t="s">
        <v>767</v>
      </c>
      <c r="C37" s="714" t="s">
        <v>768</v>
      </c>
      <c r="D37" s="703"/>
    </row>
    <row r="38" spans="1:4" ht="38.25" x14ac:dyDescent="0.2">
      <c r="A38" s="590">
        <v>6</v>
      </c>
      <c r="B38" s="716" t="s">
        <v>769</v>
      </c>
      <c r="C38" s="714" t="s">
        <v>770</v>
      </c>
      <c r="D38" s="703"/>
    </row>
    <row r="39" spans="1:4" ht="38.25" x14ac:dyDescent="0.2">
      <c r="A39" s="590">
        <v>6</v>
      </c>
      <c r="B39" s="716" t="s">
        <v>771</v>
      </c>
      <c r="C39" s="714" t="s">
        <v>772</v>
      </c>
      <c r="D39" s="703"/>
    </row>
    <row r="40" spans="1:4" s="157" customFormat="1" ht="38.25" x14ac:dyDescent="0.2">
      <c r="A40" s="590">
        <v>6</v>
      </c>
      <c r="B40" s="724" t="s">
        <v>773</v>
      </c>
      <c r="C40" s="714" t="s">
        <v>774</v>
      </c>
      <c r="D40" s="720"/>
    </row>
    <row r="41" spans="1:4" s="157" customFormat="1" ht="57.75" customHeight="1" x14ac:dyDescent="0.2">
      <c r="A41" s="590">
        <v>6</v>
      </c>
      <c r="B41" s="724" t="s">
        <v>775</v>
      </c>
      <c r="C41" s="715" t="s">
        <v>1359</v>
      </c>
      <c r="D41" s="728"/>
    </row>
    <row r="42" spans="1:4" s="157" customFormat="1" ht="30.75" customHeight="1" x14ac:dyDescent="0.2">
      <c r="A42" s="590">
        <v>7</v>
      </c>
      <c r="B42" s="716" t="s">
        <v>776</v>
      </c>
      <c r="C42" s="714" t="s">
        <v>777</v>
      </c>
      <c r="D42" s="720"/>
    </row>
    <row r="43" spans="1:4" ht="114.75" customHeight="1" x14ac:dyDescent="0.2">
      <c r="A43" s="590">
        <v>7</v>
      </c>
      <c r="B43" s="716" t="s">
        <v>778</v>
      </c>
      <c r="C43" s="702" t="s">
        <v>779</v>
      </c>
      <c r="D43" s="703"/>
    </row>
    <row r="44" spans="1:4" ht="42" customHeight="1" x14ac:dyDescent="0.2">
      <c r="A44" s="590">
        <v>7</v>
      </c>
      <c r="B44" s="716" t="s">
        <v>780</v>
      </c>
      <c r="C44" s="705" t="s">
        <v>781</v>
      </c>
      <c r="D44" s="703"/>
    </row>
    <row r="45" spans="1:4" ht="39.75" customHeight="1" x14ac:dyDescent="0.2">
      <c r="A45" s="590">
        <v>7</v>
      </c>
      <c r="B45" s="716" t="s">
        <v>782</v>
      </c>
      <c r="C45" s="714" t="s">
        <v>783</v>
      </c>
      <c r="D45" s="703"/>
    </row>
    <row r="46" spans="1:4" ht="54" customHeight="1" x14ac:dyDescent="0.2">
      <c r="A46" s="590">
        <v>8</v>
      </c>
      <c r="B46" s="716" t="s">
        <v>838</v>
      </c>
      <c r="C46" s="712" t="s">
        <v>1360</v>
      </c>
      <c r="D46" s="703"/>
    </row>
    <row r="47" spans="1:4" ht="114" customHeight="1" x14ac:dyDescent="0.2">
      <c r="A47" s="590">
        <v>8</v>
      </c>
      <c r="B47" s="716" t="s">
        <v>307</v>
      </c>
      <c r="C47" s="729" t="s">
        <v>1143</v>
      </c>
      <c r="D47" s="729"/>
    </row>
    <row r="48" spans="1:4" ht="114.75" customHeight="1" x14ac:dyDescent="0.2">
      <c r="A48" s="590">
        <v>8</v>
      </c>
      <c r="B48" s="716" t="s">
        <v>784</v>
      </c>
      <c r="C48" s="714" t="s">
        <v>785</v>
      </c>
      <c r="D48" s="730"/>
    </row>
    <row r="49" spans="1:4" ht="30" customHeight="1" x14ac:dyDescent="0.2">
      <c r="A49" s="590">
        <v>8</v>
      </c>
      <c r="B49" s="716" t="s">
        <v>1142</v>
      </c>
      <c r="C49" s="705" t="s">
        <v>786</v>
      </c>
      <c r="D49" s="703"/>
    </row>
    <row r="50" spans="1:4" ht="265.5" customHeight="1" x14ac:dyDescent="0.2">
      <c r="A50" s="590">
        <v>9</v>
      </c>
      <c r="B50" s="716" t="s">
        <v>728</v>
      </c>
      <c r="C50" s="715" t="s">
        <v>1361</v>
      </c>
      <c r="D50" s="703"/>
    </row>
    <row r="51" spans="1:4" ht="69" customHeight="1" x14ac:dyDescent="0.2">
      <c r="A51" s="590">
        <v>9</v>
      </c>
      <c r="B51" s="716" t="s">
        <v>159</v>
      </c>
      <c r="C51" s="705" t="s">
        <v>1149</v>
      </c>
      <c r="D51" s="703"/>
    </row>
    <row r="52" spans="1:4" ht="69.75" customHeight="1" x14ac:dyDescent="0.2">
      <c r="A52" s="590">
        <v>9</v>
      </c>
      <c r="B52" s="724" t="s">
        <v>389</v>
      </c>
      <c r="C52" s="702" t="s">
        <v>1150</v>
      </c>
      <c r="D52" s="703"/>
    </row>
    <row r="53" spans="1:4" ht="53.25" customHeight="1" x14ac:dyDescent="0.2">
      <c r="A53" s="590">
        <v>9</v>
      </c>
      <c r="B53" s="716" t="s">
        <v>398</v>
      </c>
      <c r="C53" s="731" t="s">
        <v>1151</v>
      </c>
      <c r="D53" s="703"/>
    </row>
    <row r="54" spans="1:4" ht="107.25" customHeight="1" x14ac:dyDescent="0.2">
      <c r="A54" s="589">
        <v>9</v>
      </c>
      <c r="B54" s="724" t="s">
        <v>787</v>
      </c>
      <c r="C54" s="732" t="s">
        <v>788</v>
      </c>
      <c r="D54" s="703"/>
    </row>
    <row r="55" spans="1:4" ht="18" customHeight="1" x14ac:dyDescent="0.2">
      <c r="A55" s="592"/>
      <c r="B55" s="733"/>
      <c r="C55" s="514" t="s">
        <v>789</v>
      </c>
      <c r="D55" s="703"/>
    </row>
    <row r="56" spans="1:4" ht="53.25" customHeight="1" x14ac:dyDescent="0.2">
      <c r="A56" s="592"/>
      <c r="B56" s="733"/>
      <c r="C56" s="732" t="s">
        <v>790</v>
      </c>
      <c r="D56" s="703"/>
    </row>
    <row r="57" spans="1:4" ht="21.75" customHeight="1" x14ac:dyDescent="0.2">
      <c r="A57" s="592"/>
      <c r="B57" s="733"/>
      <c r="C57" s="514" t="s">
        <v>791</v>
      </c>
      <c r="D57" s="703"/>
    </row>
    <row r="58" spans="1:4" ht="52.5" customHeight="1" x14ac:dyDescent="0.2">
      <c r="A58" s="592"/>
      <c r="B58" s="733"/>
      <c r="C58" s="732" t="s">
        <v>792</v>
      </c>
      <c r="D58" s="703"/>
    </row>
    <row r="59" spans="1:4" ht="19.5" customHeight="1" x14ac:dyDescent="0.2">
      <c r="A59" s="593"/>
      <c r="B59" s="733"/>
      <c r="C59" s="514" t="s">
        <v>793</v>
      </c>
      <c r="D59" s="703"/>
    </row>
    <row r="60" spans="1:4" ht="51" customHeight="1" x14ac:dyDescent="0.2">
      <c r="A60" s="593"/>
      <c r="B60" s="733"/>
      <c r="C60" s="732" t="s">
        <v>794</v>
      </c>
      <c r="D60" s="703"/>
    </row>
    <row r="61" spans="1:4" ht="19.5" customHeight="1" x14ac:dyDescent="0.2">
      <c r="A61" s="593"/>
      <c r="B61" s="733"/>
      <c r="C61" s="514" t="s">
        <v>795</v>
      </c>
      <c r="D61" s="703"/>
    </row>
    <row r="62" spans="1:4" ht="29.25" customHeight="1" x14ac:dyDescent="0.2">
      <c r="A62" s="593"/>
      <c r="B62" s="733"/>
      <c r="C62" s="732" t="s">
        <v>796</v>
      </c>
      <c r="D62" s="703"/>
    </row>
    <row r="63" spans="1:4" ht="19.5" customHeight="1" x14ac:dyDescent="0.2">
      <c r="A63" s="594"/>
      <c r="B63" s="733"/>
      <c r="C63" s="514" t="s">
        <v>797</v>
      </c>
      <c r="D63" s="703"/>
    </row>
    <row r="64" spans="1:4" ht="138.75" customHeight="1" x14ac:dyDescent="0.2">
      <c r="A64" s="590">
        <v>9</v>
      </c>
      <c r="B64" s="716" t="s">
        <v>798</v>
      </c>
      <c r="C64" s="702" t="s">
        <v>799</v>
      </c>
      <c r="D64" s="703"/>
    </row>
    <row r="65" spans="1:4" ht="171" customHeight="1" x14ac:dyDescent="0.2">
      <c r="A65" s="590">
        <v>9</v>
      </c>
      <c r="B65" s="707" t="s">
        <v>387</v>
      </c>
      <c r="C65" s="702" t="s">
        <v>800</v>
      </c>
      <c r="D65" s="703"/>
    </row>
    <row r="66" spans="1:4" ht="57" customHeight="1" x14ac:dyDescent="0.2">
      <c r="A66" s="590">
        <v>9</v>
      </c>
      <c r="B66" s="707" t="s">
        <v>801</v>
      </c>
      <c r="C66" s="702" t="s">
        <v>802</v>
      </c>
      <c r="D66" s="703"/>
    </row>
    <row r="67" spans="1:4" ht="213" customHeight="1" x14ac:dyDescent="0.2">
      <c r="A67" s="590">
        <v>9</v>
      </c>
      <c r="B67" s="716" t="s">
        <v>803</v>
      </c>
      <c r="C67" s="714" t="s">
        <v>804</v>
      </c>
      <c r="D67" s="734"/>
    </row>
    <row r="68" spans="1:4" ht="60" customHeight="1" x14ac:dyDescent="0.2">
      <c r="A68" s="590">
        <v>9</v>
      </c>
      <c r="B68" s="716" t="s">
        <v>415</v>
      </c>
      <c r="C68" s="735" t="s">
        <v>805</v>
      </c>
      <c r="D68" s="736"/>
    </row>
    <row r="69" spans="1:4" ht="57.75" customHeight="1" x14ac:dyDescent="0.2">
      <c r="A69" s="589">
        <v>10</v>
      </c>
      <c r="B69" s="716" t="s">
        <v>728</v>
      </c>
      <c r="C69" s="737" t="s">
        <v>806</v>
      </c>
      <c r="D69" s="729"/>
    </row>
    <row r="70" spans="1:4" ht="60" customHeight="1" x14ac:dyDescent="0.2">
      <c r="A70" s="589">
        <v>10</v>
      </c>
      <c r="B70" s="716" t="s">
        <v>420</v>
      </c>
      <c r="C70" s="735" t="s">
        <v>807</v>
      </c>
      <c r="D70" s="729"/>
    </row>
    <row r="71" spans="1:4" ht="60" customHeight="1" x14ac:dyDescent="0.2">
      <c r="A71" s="589">
        <v>10</v>
      </c>
      <c r="B71" s="716" t="s">
        <v>808</v>
      </c>
      <c r="C71" s="718" t="s">
        <v>809</v>
      </c>
      <c r="D71" s="736"/>
    </row>
    <row r="72" spans="1:4" ht="60" customHeight="1" x14ac:dyDescent="0.2">
      <c r="A72" s="589">
        <v>10</v>
      </c>
      <c r="B72" s="716" t="s">
        <v>810</v>
      </c>
      <c r="C72" s="718" t="s">
        <v>811</v>
      </c>
      <c r="D72" s="736"/>
    </row>
    <row r="73" spans="1:4" ht="67.5" customHeight="1" x14ac:dyDescent="0.2">
      <c r="A73" s="589">
        <v>10</v>
      </c>
      <c r="B73" s="716" t="s">
        <v>159</v>
      </c>
      <c r="C73" s="718" t="s">
        <v>812</v>
      </c>
      <c r="D73" s="736"/>
    </row>
    <row r="74" spans="1:4" ht="81.75" customHeight="1" x14ac:dyDescent="0.2">
      <c r="A74" s="589">
        <v>10</v>
      </c>
      <c r="B74" s="716" t="s">
        <v>813</v>
      </c>
      <c r="C74" s="718" t="s">
        <v>814</v>
      </c>
      <c r="D74" s="736"/>
    </row>
    <row r="75" spans="1:4" ht="60" customHeight="1" x14ac:dyDescent="0.2">
      <c r="A75" s="589">
        <v>10</v>
      </c>
      <c r="B75" s="716" t="s">
        <v>815</v>
      </c>
      <c r="C75" s="718" t="s">
        <v>816</v>
      </c>
      <c r="D75" s="736"/>
    </row>
    <row r="76" spans="1:4" ht="60" customHeight="1" x14ac:dyDescent="0.2">
      <c r="A76" s="1003">
        <v>10</v>
      </c>
      <c r="B76" s="1005" t="s">
        <v>458</v>
      </c>
      <c r="C76" s="738" t="s">
        <v>1153</v>
      </c>
      <c r="D76" s="739"/>
    </row>
    <row r="77" spans="1:4" ht="19.5" customHeight="1" x14ac:dyDescent="0.2">
      <c r="A77" s="1004"/>
      <c r="B77" s="1006"/>
      <c r="C77" s="611" t="s">
        <v>817</v>
      </c>
      <c r="D77" s="720"/>
    </row>
    <row r="78" spans="1:4" ht="44.25" customHeight="1" x14ac:dyDescent="0.2">
      <c r="A78" s="589">
        <v>10</v>
      </c>
      <c r="B78" s="716" t="s">
        <v>818</v>
      </c>
      <c r="C78" s="740" t="s">
        <v>819</v>
      </c>
      <c r="D78" s="741"/>
    </row>
    <row r="79" spans="1:4" ht="45.75" customHeight="1" x14ac:dyDescent="0.2">
      <c r="A79" s="589">
        <v>10</v>
      </c>
      <c r="B79" s="716" t="s">
        <v>820</v>
      </c>
      <c r="C79" s="718" t="s">
        <v>821</v>
      </c>
      <c r="D79" s="736"/>
    </row>
    <row r="80" spans="1:4" ht="46.5" customHeight="1" x14ac:dyDescent="0.2">
      <c r="A80" s="589">
        <v>10</v>
      </c>
      <c r="B80" s="716" t="s">
        <v>822</v>
      </c>
      <c r="C80" s="718" t="s">
        <v>823</v>
      </c>
      <c r="D80" s="736"/>
    </row>
    <row r="81" spans="1:4" ht="86.25" customHeight="1" x14ac:dyDescent="0.2">
      <c r="A81" s="589">
        <v>10</v>
      </c>
      <c r="B81" s="716" t="s">
        <v>824</v>
      </c>
      <c r="C81" s="718" t="s">
        <v>825</v>
      </c>
      <c r="D81" s="736"/>
    </row>
    <row r="82" spans="1:4" ht="25.5" x14ac:dyDescent="0.2">
      <c r="A82" s="589">
        <v>10</v>
      </c>
      <c r="B82" s="716" t="s">
        <v>826</v>
      </c>
      <c r="C82" s="718" t="s">
        <v>827</v>
      </c>
      <c r="D82" s="736"/>
    </row>
    <row r="83" spans="1:4" ht="328.5" customHeight="1" x14ac:dyDescent="0.2">
      <c r="A83" s="589">
        <v>10</v>
      </c>
      <c r="B83" s="716" t="s">
        <v>828</v>
      </c>
      <c r="C83" s="714" t="s">
        <v>829</v>
      </c>
      <c r="D83" s="736"/>
    </row>
    <row r="84" spans="1:4" ht="125.25" customHeight="1" x14ac:dyDescent="0.2">
      <c r="A84" s="589">
        <v>10</v>
      </c>
      <c r="B84" s="716" t="s">
        <v>830</v>
      </c>
      <c r="C84" s="715" t="s">
        <v>1362</v>
      </c>
      <c r="D84" s="736"/>
    </row>
    <row r="85" spans="1:4" ht="72" customHeight="1" x14ac:dyDescent="0.2">
      <c r="A85" s="589">
        <v>10</v>
      </c>
      <c r="B85" s="713" t="s">
        <v>1363</v>
      </c>
      <c r="C85" s="712" t="s">
        <v>1364</v>
      </c>
      <c r="D85" s="736"/>
    </row>
    <row r="86" spans="1:4" ht="69" customHeight="1" x14ac:dyDescent="0.2">
      <c r="A86" s="589">
        <v>10</v>
      </c>
      <c r="B86" s="713" t="s">
        <v>1365</v>
      </c>
      <c r="C86" s="714" t="s">
        <v>1366</v>
      </c>
      <c r="D86" s="736"/>
    </row>
    <row r="87" spans="1:4" ht="108.75" customHeight="1" x14ac:dyDescent="0.2">
      <c r="A87" s="589">
        <v>10</v>
      </c>
      <c r="B87" s="716" t="s">
        <v>831</v>
      </c>
      <c r="C87" s="714" t="s">
        <v>1152</v>
      </c>
      <c r="D87" s="736"/>
    </row>
    <row r="88" spans="1:4" ht="130.5" customHeight="1" x14ac:dyDescent="0.2">
      <c r="A88" s="638">
        <v>10</v>
      </c>
      <c r="B88" s="716" t="s">
        <v>832</v>
      </c>
      <c r="C88" s="714" t="s">
        <v>833</v>
      </c>
      <c r="D88" s="739"/>
    </row>
    <row r="89" spans="1:4" customFormat="1" ht="81" customHeight="1" x14ac:dyDescent="0.2">
      <c r="A89" s="742" t="s">
        <v>1214</v>
      </c>
      <c r="B89" s="743" t="s">
        <v>728</v>
      </c>
      <c r="C89" s="744" t="s">
        <v>1291</v>
      </c>
      <c r="D89" s="745" t="s">
        <v>1380</v>
      </c>
    </row>
    <row r="90" spans="1:4" customFormat="1" ht="36" customHeight="1" x14ac:dyDescent="0.2">
      <c r="A90" s="742" t="s">
        <v>1214</v>
      </c>
      <c r="B90" s="743" t="s">
        <v>1255</v>
      </c>
      <c r="C90" s="746" t="s">
        <v>1254</v>
      </c>
      <c r="D90" s="747" t="s">
        <v>1380</v>
      </c>
    </row>
    <row r="91" spans="1:4" customFormat="1" ht="57" customHeight="1" x14ac:dyDescent="0.2">
      <c r="A91" s="742" t="s">
        <v>1214</v>
      </c>
      <c r="B91" s="743" t="s">
        <v>1253</v>
      </c>
      <c r="C91" s="746" t="s">
        <v>1259</v>
      </c>
      <c r="D91" s="747" t="s">
        <v>1380</v>
      </c>
    </row>
    <row r="92" spans="1:4" customFormat="1" ht="38.1" customHeight="1" x14ac:dyDescent="0.2">
      <c r="A92" s="742" t="s">
        <v>1214</v>
      </c>
      <c r="B92" s="743" t="s">
        <v>1252</v>
      </c>
      <c r="C92" s="746" t="s">
        <v>1251</v>
      </c>
      <c r="D92" s="747" t="s">
        <v>1380</v>
      </c>
    </row>
    <row r="93" spans="1:4" customFormat="1" ht="87" customHeight="1" x14ac:dyDescent="0.2">
      <c r="A93" s="742" t="s">
        <v>1214</v>
      </c>
      <c r="B93" s="743" t="s">
        <v>1250</v>
      </c>
      <c r="C93" s="748" t="s">
        <v>1381</v>
      </c>
      <c r="D93" s="747" t="s">
        <v>1380</v>
      </c>
    </row>
    <row r="94" spans="1:4" customFormat="1" ht="46.5" customHeight="1" x14ac:dyDescent="0.2">
      <c r="A94" s="742" t="s">
        <v>1214</v>
      </c>
      <c r="B94" s="743" t="s">
        <v>1249</v>
      </c>
      <c r="C94" s="746" t="s">
        <v>1260</v>
      </c>
      <c r="D94" s="747" t="s">
        <v>1380</v>
      </c>
    </row>
    <row r="95" spans="1:4" customFormat="1" ht="36" customHeight="1" x14ac:dyDescent="0.2">
      <c r="A95" s="742" t="s">
        <v>1214</v>
      </c>
      <c r="B95" s="743" t="s">
        <v>1248</v>
      </c>
      <c r="C95" s="749" t="s">
        <v>1261</v>
      </c>
      <c r="D95" s="747" t="s">
        <v>1380</v>
      </c>
    </row>
    <row r="96" spans="1:4" customFormat="1" ht="33.6" customHeight="1" x14ac:dyDescent="0.2">
      <c r="A96" s="742" t="s">
        <v>1214</v>
      </c>
      <c r="B96" s="743" t="s">
        <v>1247</v>
      </c>
      <c r="C96" s="746" t="s">
        <v>1246</v>
      </c>
      <c r="D96" s="747" t="s">
        <v>1380</v>
      </c>
    </row>
    <row r="97" spans="1:4" customFormat="1" ht="35.25" customHeight="1" x14ac:dyDescent="0.2">
      <c r="A97" s="742" t="s">
        <v>1214</v>
      </c>
      <c r="B97" s="743" t="s">
        <v>1245</v>
      </c>
      <c r="C97" s="746" t="s">
        <v>1244</v>
      </c>
      <c r="D97" s="747" t="s">
        <v>1380</v>
      </c>
    </row>
    <row r="98" spans="1:4" customFormat="1" ht="53.25" customHeight="1" x14ac:dyDescent="0.2">
      <c r="A98" s="742" t="s">
        <v>1214</v>
      </c>
      <c r="B98" s="743" t="s">
        <v>1243</v>
      </c>
      <c r="C98" s="746" t="s">
        <v>1262</v>
      </c>
      <c r="D98" s="747" t="s">
        <v>1380</v>
      </c>
    </row>
    <row r="99" spans="1:4" customFormat="1" ht="35.25" customHeight="1" x14ac:dyDescent="0.2">
      <c r="A99" s="742" t="s">
        <v>1214</v>
      </c>
      <c r="B99" s="743" t="s">
        <v>1242</v>
      </c>
      <c r="C99" s="746" t="s">
        <v>1263</v>
      </c>
      <c r="D99" s="747" t="s">
        <v>1380</v>
      </c>
    </row>
    <row r="100" spans="1:4" customFormat="1" ht="42.6" customHeight="1" x14ac:dyDescent="0.2">
      <c r="A100" s="742" t="s">
        <v>1214</v>
      </c>
      <c r="B100" s="743" t="s">
        <v>1241</v>
      </c>
      <c r="C100" s="750" t="s">
        <v>1240</v>
      </c>
      <c r="D100" s="747" t="s">
        <v>1380</v>
      </c>
    </row>
    <row r="101" spans="1:4" customFormat="1" ht="33.6" customHeight="1" x14ac:dyDescent="0.2">
      <c r="A101" s="742" t="s">
        <v>1214</v>
      </c>
      <c r="B101" s="743" t="s">
        <v>1239</v>
      </c>
      <c r="C101" s="746" t="s">
        <v>1264</v>
      </c>
      <c r="D101" s="747" t="s">
        <v>1380</v>
      </c>
    </row>
    <row r="102" spans="1:4" customFormat="1" ht="41.1" customHeight="1" x14ac:dyDescent="0.2">
      <c r="A102" s="742" t="s">
        <v>1214</v>
      </c>
      <c r="B102" s="743" t="s">
        <v>1238</v>
      </c>
      <c r="C102" s="746" t="s">
        <v>1265</v>
      </c>
      <c r="D102" s="747" t="s">
        <v>1380</v>
      </c>
    </row>
    <row r="103" spans="1:4" customFormat="1" ht="75.599999999999994" customHeight="1" x14ac:dyDescent="0.2">
      <c r="A103" s="989" t="s">
        <v>1214</v>
      </c>
      <c r="B103" s="991" t="s">
        <v>1237</v>
      </c>
      <c r="C103" s="751" t="s">
        <v>1266</v>
      </c>
      <c r="D103" s="752" t="s">
        <v>1380</v>
      </c>
    </row>
    <row r="104" spans="1:4" customFormat="1" ht="15.6" customHeight="1" x14ac:dyDescent="0.2">
      <c r="A104" s="990"/>
      <c r="B104" s="992"/>
      <c r="C104" s="753" t="s">
        <v>1236</v>
      </c>
      <c r="D104" s="754"/>
    </row>
    <row r="105" spans="1:4" customFormat="1" ht="32.1" customHeight="1" x14ac:dyDescent="0.2">
      <c r="A105" s="742" t="s">
        <v>1214</v>
      </c>
      <c r="B105" s="743" t="s">
        <v>1235</v>
      </c>
      <c r="C105" s="750" t="s">
        <v>1267</v>
      </c>
      <c r="D105" s="747" t="s">
        <v>1380</v>
      </c>
    </row>
    <row r="106" spans="1:4" customFormat="1" ht="39" customHeight="1" x14ac:dyDescent="0.2">
      <c r="A106" s="742" t="s">
        <v>1214</v>
      </c>
      <c r="B106" s="743" t="s">
        <v>1234</v>
      </c>
      <c r="C106" s="746" t="s">
        <v>1268</v>
      </c>
      <c r="D106" s="747" t="s">
        <v>1380</v>
      </c>
    </row>
    <row r="107" spans="1:4" customFormat="1" ht="45.6" customHeight="1" x14ac:dyDescent="0.2">
      <c r="A107" s="742" t="s">
        <v>1214</v>
      </c>
      <c r="B107" s="743" t="s">
        <v>1233</v>
      </c>
      <c r="C107" s="746" t="s">
        <v>1269</v>
      </c>
      <c r="D107" s="747" t="s">
        <v>1380</v>
      </c>
    </row>
    <row r="108" spans="1:4" customFormat="1" ht="57.6" customHeight="1" x14ac:dyDescent="0.2">
      <c r="A108" s="742" t="s">
        <v>1214</v>
      </c>
      <c r="B108" s="743" t="s">
        <v>1232</v>
      </c>
      <c r="C108" s="746" t="s">
        <v>1270</v>
      </c>
      <c r="D108" s="747" t="s">
        <v>1380</v>
      </c>
    </row>
    <row r="109" spans="1:4" customFormat="1" ht="44.1" customHeight="1" x14ac:dyDescent="0.2">
      <c r="A109" s="742" t="s">
        <v>1214</v>
      </c>
      <c r="B109" s="743" t="s">
        <v>1231</v>
      </c>
      <c r="C109" s="746" t="s">
        <v>1230</v>
      </c>
      <c r="D109" s="747" t="s">
        <v>1380</v>
      </c>
    </row>
    <row r="110" spans="1:4" customFormat="1" ht="30" customHeight="1" x14ac:dyDescent="0.2">
      <c r="A110" s="742" t="s">
        <v>1214</v>
      </c>
      <c r="B110" s="743" t="s">
        <v>1278</v>
      </c>
      <c r="C110" s="746" t="s">
        <v>1229</v>
      </c>
      <c r="D110" s="747" t="s">
        <v>1380</v>
      </c>
    </row>
    <row r="111" spans="1:4" customFormat="1" ht="39" customHeight="1" x14ac:dyDescent="0.2">
      <c r="A111" s="742" t="s">
        <v>1214</v>
      </c>
      <c r="B111" s="743" t="s">
        <v>1279</v>
      </c>
      <c r="C111" s="746" t="s">
        <v>1228</v>
      </c>
      <c r="D111" s="747" t="s">
        <v>1380</v>
      </c>
    </row>
    <row r="112" spans="1:4" customFormat="1" ht="35.25" customHeight="1" x14ac:dyDescent="0.2">
      <c r="A112" s="742" t="s">
        <v>1214</v>
      </c>
      <c r="B112" s="743" t="s">
        <v>1227</v>
      </c>
      <c r="C112" s="746" t="s">
        <v>1226</v>
      </c>
      <c r="D112" s="747" t="s">
        <v>1380</v>
      </c>
    </row>
    <row r="113" spans="1:4" customFormat="1" ht="39" customHeight="1" x14ac:dyDescent="0.2">
      <c r="A113" s="742" t="s">
        <v>1214</v>
      </c>
      <c r="B113" s="743" t="s">
        <v>1225</v>
      </c>
      <c r="C113" s="746" t="s">
        <v>1224</v>
      </c>
      <c r="D113" s="747" t="s">
        <v>1380</v>
      </c>
    </row>
    <row r="114" spans="1:4" customFormat="1" ht="33.75" customHeight="1" x14ac:dyDescent="0.2">
      <c r="A114" s="742" t="s">
        <v>1214</v>
      </c>
      <c r="B114" s="743" t="s">
        <v>94</v>
      </c>
      <c r="C114" s="746" t="s">
        <v>1223</v>
      </c>
      <c r="D114" s="747" t="s">
        <v>1380</v>
      </c>
    </row>
    <row r="115" spans="1:4" customFormat="1" ht="33.75" customHeight="1" x14ac:dyDescent="0.2">
      <c r="A115" s="742" t="s">
        <v>1214</v>
      </c>
      <c r="B115" s="743" t="s">
        <v>1196</v>
      </c>
      <c r="C115" s="746" t="s">
        <v>1222</v>
      </c>
      <c r="D115" s="747" t="s">
        <v>1380</v>
      </c>
    </row>
    <row r="116" spans="1:4" customFormat="1" ht="51" customHeight="1" x14ac:dyDescent="0.2">
      <c r="A116" s="742" t="s">
        <v>1214</v>
      </c>
      <c r="B116" s="743" t="s">
        <v>1195</v>
      </c>
      <c r="C116" s="746" t="s">
        <v>1221</v>
      </c>
      <c r="D116" s="747" t="s">
        <v>1380</v>
      </c>
    </row>
    <row r="117" spans="1:4" customFormat="1" ht="33" customHeight="1" x14ac:dyDescent="0.2">
      <c r="A117" s="742" t="s">
        <v>1214</v>
      </c>
      <c r="B117" s="743" t="s">
        <v>1220</v>
      </c>
      <c r="C117" s="746" t="s">
        <v>1219</v>
      </c>
      <c r="D117" s="747" t="s">
        <v>1380</v>
      </c>
    </row>
    <row r="118" spans="1:4" customFormat="1" ht="36.75" customHeight="1" x14ac:dyDescent="0.2">
      <c r="A118" s="742" t="s">
        <v>1214</v>
      </c>
      <c r="B118" s="743" t="s">
        <v>1193</v>
      </c>
      <c r="C118" s="746" t="s">
        <v>1218</v>
      </c>
      <c r="D118" s="747" t="s">
        <v>1380</v>
      </c>
    </row>
    <row r="119" spans="1:4" customFormat="1" ht="35.1" customHeight="1" x14ac:dyDescent="0.2">
      <c r="A119" s="742" t="s">
        <v>1214</v>
      </c>
      <c r="B119" s="743" t="s">
        <v>1277</v>
      </c>
      <c r="C119" s="746" t="s">
        <v>1217</v>
      </c>
      <c r="D119" s="747" t="s">
        <v>1380</v>
      </c>
    </row>
    <row r="120" spans="1:4" customFormat="1" ht="31.5" customHeight="1" x14ac:dyDescent="0.2">
      <c r="A120" s="742" t="s">
        <v>1214</v>
      </c>
      <c r="B120" s="743" t="s">
        <v>1276</v>
      </c>
      <c r="C120" s="746" t="s">
        <v>1216</v>
      </c>
      <c r="D120" s="747" t="s">
        <v>1380</v>
      </c>
    </row>
    <row r="121" spans="1:4" customFormat="1" ht="43.5" customHeight="1" x14ac:dyDescent="0.2">
      <c r="A121" s="742" t="s">
        <v>1214</v>
      </c>
      <c r="B121" s="743" t="s">
        <v>1275</v>
      </c>
      <c r="C121" s="746" t="s">
        <v>1271</v>
      </c>
      <c r="D121" s="747" t="s">
        <v>1380</v>
      </c>
    </row>
    <row r="122" spans="1:4" customFormat="1" ht="32.450000000000003" customHeight="1" x14ac:dyDescent="0.2">
      <c r="A122" s="742" t="s">
        <v>1214</v>
      </c>
      <c r="B122" s="743" t="s">
        <v>1274</v>
      </c>
      <c r="C122" s="746" t="s">
        <v>1371</v>
      </c>
      <c r="D122" s="747" t="s">
        <v>1380</v>
      </c>
    </row>
    <row r="123" spans="1:4" customFormat="1" ht="38.25" x14ac:dyDescent="0.2">
      <c r="A123" s="742" t="s">
        <v>1214</v>
      </c>
      <c r="B123" s="743" t="s">
        <v>1273</v>
      </c>
      <c r="C123" s="746" t="s">
        <v>1215</v>
      </c>
      <c r="D123" s="747" t="s">
        <v>1380</v>
      </c>
    </row>
    <row r="124" spans="1:4" ht="81.75" customHeight="1" x14ac:dyDescent="0.2">
      <c r="A124" s="589" t="s">
        <v>834</v>
      </c>
      <c r="B124" s="755" t="s">
        <v>728</v>
      </c>
      <c r="C124" s="756" t="s">
        <v>835</v>
      </c>
      <c r="D124" s="729"/>
    </row>
    <row r="125" spans="1:4" s="8" customFormat="1" ht="29.25" customHeight="1" x14ac:dyDescent="0.2">
      <c r="A125" s="589" t="s">
        <v>834</v>
      </c>
      <c r="B125" s="755" t="s">
        <v>836</v>
      </c>
      <c r="C125" s="757" t="s">
        <v>1368</v>
      </c>
      <c r="D125" s="720"/>
    </row>
    <row r="126" spans="1:4" ht="81" customHeight="1" x14ac:dyDescent="0.2">
      <c r="A126" s="589" t="s">
        <v>834</v>
      </c>
      <c r="B126" s="716" t="s">
        <v>837</v>
      </c>
      <c r="C126" s="758" t="s">
        <v>1369</v>
      </c>
      <c r="D126" s="729"/>
    </row>
    <row r="127" spans="1:4" ht="49.5" customHeight="1" x14ac:dyDescent="0.2">
      <c r="A127" s="589" t="s">
        <v>834</v>
      </c>
      <c r="B127" s="716" t="s">
        <v>838</v>
      </c>
      <c r="C127" s="712" t="s">
        <v>1370</v>
      </c>
      <c r="D127" s="736"/>
    </row>
    <row r="128" spans="1:4" ht="79.5" customHeight="1" x14ac:dyDescent="0.2">
      <c r="A128" s="759" t="s">
        <v>839</v>
      </c>
      <c r="B128" s="755" t="s">
        <v>840</v>
      </c>
      <c r="C128" s="737" t="s">
        <v>1382</v>
      </c>
      <c r="D128" s="760"/>
    </row>
    <row r="129" spans="1:4" ht="51" x14ac:dyDescent="0.2">
      <c r="A129" s="759" t="s">
        <v>839</v>
      </c>
      <c r="B129" s="755" t="s">
        <v>841</v>
      </c>
      <c r="C129" s="758" t="s">
        <v>1372</v>
      </c>
      <c r="D129" s="760"/>
    </row>
    <row r="130" spans="1:4" ht="33.75" customHeight="1" x14ac:dyDescent="0.2">
      <c r="A130" s="759" t="s">
        <v>839</v>
      </c>
      <c r="B130" s="755" t="s">
        <v>842</v>
      </c>
      <c r="C130" s="735" t="s">
        <v>1138</v>
      </c>
      <c r="D130" s="760"/>
    </row>
    <row r="131" spans="1:4" ht="55.5" customHeight="1" x14ac:dyDescent="0.2">
      <c r="A131" s="759" t="s">
        <v>839</v>
      </c>
      <c r="B131" s="755" t="s">
        <v>843</v>
      </c>
      <c r="C131" s="735" t="s">
        <v>844</v>
      </c>
      <c r="D131" s="760"/>
    </row>
    <row r="132" spans="1:4" ht="38.25" x14ac:dyDescent="0.2">
      <c r="A132" s="759" t="s">
        <v>839</v>
      </c>
      <c r="B132" s="755" t="s">
        <v>845</v>
      </c>
      <c r="C132" s="735" t="s">
        <v>846</v>
      </c>
      <c r="D132" s="760"/>
    </row>
    <row r="133" spans="1:4" ht="51" x14ac:dyDescent="0.2">
      <c r="A133" s="759" t="s">
        <v>839</v>
      </c>
      <c r="B133" s="755" t="s">
        <v>847</v>
      </c>
      <c r="C133" s="758" t="s">
        <v>1373</v>
      </c>
      <c r="D133" s="760"/>
    </row>
    <row r="134" spans="1:4" ht="54" customHeight="1" x14ac:dyDescent="0.2">
      <c r="A134" s="759" t="s">
        <v>839</v>
      </c>
      <c r="B134" s="716" t="s">
        <v>1139</v>
      </c>
      <c r="C134" s="758" t="s">
        <v>1374</v>
      </c>
      <c r="D134" s="760"/>
    </row>
    <row r="135" spans="1:4" ht="25.5" x14ac:dyDescent="0.3">
      <c r="A135" s="759" t="s">
        <v>839</v>
      </c>
      <c r="B135" s="755" t="s">
        <v>848</v>
      </c>
      <c r="C135" s="761" t="s">
        <v>849</v>
      </c>
      <c r="D135" s="762"/>
    </row>
    <row r="136" spans="1:4" ht="38.25" x14ac:dyDescent="0.3">
      <c r="A136" s="759" t="s">
        <v>839</v>
      </c>
      <c r="B136" s="755" t="s">
        <v>850</v>
      </c>
      <c r="C136" s="761" t="s">
        <v>851</v>
      </c>
      <c r="D136" s="762"/>
    </row>
    <row r="137" spans="1:4" ht="51" x14ac:dyDescent="0.3">
      <c r="A137" s="759" t="s">
        <v>839</v>
      </c>
      <c r="B137" s="755" t="s">
        <v>852</v>
      </c>
      <c r="C137" s="761" t="s">
        <v>853</v>
      </c>
      <c r="D137" s="762"/>
    </row>
    <row r="138" spans="1:4" ht="56.25" customHeight="1" x14ac:dyDescent="0.3">
      <c r="A138" s="759" t="s">
        <v>839</v>
      </c>
      <c r="B138" s="763" t="s">
        <v>854</v>
      </c>
      <c r="C138" s="761" t="s">
        <v>855</v>
      </c>
      <c r="D138" s="764"/>
    </row>
    <row r="139" spans="1:4" ht="25.5" x14ac:dyDescent="0.2">
      <c r="A139" s="759" t="s">
        <v>839</v>
      </c>
      <c r="B139" s="716" t="s">
        <v>856</v>
      </c>
      <c r="C139" s="735" t="s">
        <v>1140</v>
      </c>
      <c r="D139" s="765"/>
    </row>
    <row r="140" spans="1:4" ht="108" customHeight="1" x14ac:dyDescent="0.2">
      <c r="A140" s="759" t="s">
        <v>839</v>
      </c>
      <c r="B140" s="716" t="s">
        <v>857</v>
      </c>
      <c r="C140" s="766" t="s">
        <v>1375</v>
      </c>
      <c r="D140" s="767"/>
    </row>
    <row r="141" spans="1:4" ht="89.25" x14ac:dyDescent="0.2">
      <c r="A141" s="759" t="s">
        <v>839</v>
      </c>
      <c r="B141" s="716" t="s">
        <v>858</v>
      </c>
      <c r="C141" s="729" t="s">
        <v>1141</v>
      </c>
      <c r="D141" s="767"/>
    </row>
  </sheetData>
  <sheetProtection sheet="1" formatCells="0" formatColumns="0" formatRows="0" sort="0" autoFilter="0"/>
  <autoFilter ref="A1:D141" xr:uid="{00000000-0009-0000-0000-000010000000}"/>
  <mergeCells count="7">
    <mergeCell ref="A103:A104"/>
    <mergeCell ref="B103:B104"/>
    <mergeCell ref="A2:B6"/>
    <mergeCell ref="A10:A11"/>
    <mergeCell ref="B10:B11"/>
    <mergeCell ref="A76:A77"/>
    <mergeCell ref="B76:B77"/>
  </mergeCells>
  <hyperlinks>
    <hyperlink ref="A12" location="'Page 1'!A1" display="'Page 1'!A1" xr:uid="{00000000-0004-0000-1000-000000000000}"/>
    <hyperlink ref="A17" location="'Page 2'!A1" display="'Page 2'!A1" xr:uid="{00000000-0004-0000-1000-000001000000}"/>
    <hyperlink ref="A18" location="'Page 2'!A1" display="'Page 2'!A1" xr:uid="{00000000-0004-0000-1000-000002000000}"/>
    <hyperlink ref="A2:B2" location="'Cover Page'!A1" display="General" xr:uid="{00000000-0004-0000-1000-000003000000}"/>
    <hyperlink ref="A7" location="'Cover Page'!A1" display="Cover" xr:uid="{00000000-0004-0000-1000-000004000000}"/>
    <hyperlink ref="A14" location="'Page 1'!A1" display="'Page 1'!A1" xr:uid="{00000000-0004-0000-1000-000005000000}"/>
    <hyperlink ref="A15" location="'Page 1'!A1" display="'Page 1'!A1" xr:uid="{00000000-0004-0000-1000-000006000000}"/>
    <hyperlink ref="A13" location="'Page 1'!A1" display="'Page 1'!A1" xr:uid="{00000000-0004-0000-1000-000007000000}"/>
    <hyperlink ref="A16" location="'Page 1'!A1" display="'Page 1'!A1" xr:uid="{00000000-0004-0000-1000-000008000000}"/>
    <hyperlink ref="A10" location="'Accounting Data'!A1" display="Accounting data tab" xr:uid="{00000000-0004-0000-1000-000009000000}"/>
    <hyperlink ref="A9" location="'School listing'!A1" display="School listing tab" xr:uid="{00000000-0004-0000-1000-00000A000000}"/>
    <hyperlink ref="C55" r:id="rId1" xr:uid="{00000000-0004-0000-1000-00000B000000}"/>
    <hyperlink ref="C57" r:id="rId2" xr:uid="{00000000-0004-0000-1000-00000C000000}"/>
    <hyperlink ref="C59" r:id="rId3" display="https://www.azed.gov/titlei/sample-page/rural-low-income-schools-rlis/" xr:uid="{00000000-0004-0000-1000-00000D000000}"/>
    <hyperlink ref="C61" r:id="rId4" xr:uid="{00000000-0004-0000-1000-00000E000000}"/>
    <hyperlink ref="C63" r:id="rId5" xr:uid="{00000000-0004-0000-1000-00000F000000}"/>
    <hyperlink ref="A19" location="'Page 3'!A1" display="'Page 3'!A1" xr:uid="{00000000-0004-0000-1000-000010000000}"/>
    <hyperlink ref="A21" location="'Page 3'!A1" display="'Page 3'!A1" xr:uid="{00000000-0004-0000-1000-000011000000}"/>
    <hyperlink ref="A20" location="'Page 3'!A1" display="'Page 3'!A1" xr:uid="{00000000-0004-0000-1000-000012000000}"/>
    <hyperlink ref="A24" location="'Page 4'!A1" display="'Page 4'!A1" xr:uid="{00000000-0004-0000-1000-000013000000}"/>
    <hyperlink ref="A27" location="'Page 6'!A1" display="'Page 6'!A1" xr:uid="{00000000-0004-0000-1000-000014000000}"/>
    <hyperlink ref="A28" location="'Page 6'!A1" display="'Page 6'!A1" xr:uid="{00000000-0004-0000-1000-000015000000}"/>
    <hyperlink ref="A29" location="'Page 6'!A1" display="'Page 6'!A1" xr:uid="{00000000-0004-0000-1000-000016000000}"/>
    <hyperlink ref="A30" location="'Page 6'!A1" display="'Page 6'!A1" xr:uid="{00000000-0004-0000-1000-000017000000}"/>
    <hyperlink ref="A31" location="'Page 6'!A1" display="'Page 6'!A1" xr:uid="{00000000-0004-0000-1000-000018000000}"/>
    <hyperlink ref="A32" location="'Page 6'!A1" display="'Page 6'!A1" xr:uid="{00000000-0004-0000-1000-000019000000}"/>
    <hyperlink ref="A33" location="'Page 6'!A1" display="'Page 6'!A1" xr:uid="{00000000-0004-0000-1000-00001A000000}"/>
    <hyperlink ref="A35" location="'Page 6'!A1" display="'Page 6'!A1" xr:uid="{00000000-0004-0000-1000-00001C000000}"/>
    <hyperlink ref="A36" location="'Page 6'!A1" display="'Page 6'!A1" xr:uid="{00000000-0004-0000-1000-00001D000000}"/>
    <hyperlink ref="A37" location="'Page 6'!A1" display="'Page 6'!A1" xr:uid="{00000000-0004-0000-1000-00001E000000}"/>
    <hyperlink ref="A38" location="'Page 6'!A1" display="'Page 6'!A1" xr:uid="{00000000-0004-0000-1000-00001F000000}"/>
    <hyperlink ref="A39" location="'Page 6'!A1" display="'Page 6'!A1" xr:uid="{00000000-0004-0000-1000-000020000000}"/>
    <hyperlink ref="A40" location="'Page 6'!A1" display="'Page 6'!A1" xr:uid="{00000000-0004-0000-1000-000021000000}"/>
    <hyperlink ref="A41" location="'Page 6'!A1" display="'Page 6'!A1" xr:uid="{00000000-0004-0000-1000-000022000000}"/>
    <hyperlink ref="A42" location="'Page 7'!A1" display="'Page 7'!A1" xr:uid="{00000000-0004-0000-1000-000023000000}"/>
    <hyperlink ref="A43" location="'Page 7'!A1" display="'Page 7'!A1" xr:uid="{00000000-0004-0000-1000-000024000000}"/>
    <hyperlink ref="A44" location="'Page 7'!A1" display="'Page 7'!A1" xr:uid="{00000000-0004-0000-1000-000025000000}"/>
    <hyperlink ref="A45" location="'Page 7'!A1" display="'Page 7'!A1" xr:uid="{00000000-0004-0000-1000-000026000000}"/>
    <hyperlink ref="A47" location="'Page 8'!A1" display="'Page 8'!A1" xr:uid="{00000000-0004-0000-1000-000027000000}"/>
    <hyperlink ref="A48" location="'Page 8'!A1" display="'Page 8'!A1" xr:uid="{00000000-0004-0000-1000-000028000000}"/>
    <hyperlink ref="A49" location="'Page 8'!A1" display="'Page 8'!A1" xr:uid="{00000000-0004-0000-1000-000029000000}"/>
    <hyperlink ref="A50" location="'Page 9'!A1" display="'Page 9'!A1" xr:uid="{00000000-0004-0000-1000-00002A000000}"/>
    <hyperlink ref="A51" location="'Page 9'!A1" display="'Page 9'!A1" xr:uid="{00000000-0004-0000-1000-00002B000000}"/>
    <hyperlink ref="A52" location="'Page 9'!A1" display="'Page 9'!A1" xr:uid="{00000000-0004-0000-1000-00002C000000}"/>
    <hyperlink ref="A53" location="'Page 9'!A1" display="'Page 9'!A1" xr:uid="{00000000-0004-0000-1000-00002D000000}"/>
    <hyperlink ref="A54" location="'Page 9'!A1" display="'Page 9'!A1" xr:uid="{00000000-0004-0000-1000-00002E000000}"/>
    <hyperlink ref="A64" location="'Page 9'!A1" display="'Page 9'!A1" xr:uid="{00000000-0004-0000-1000-00002F000000}"/>
    <hyperlink ref="A65" location="'Page 9'!A1" display="'Page 9'!A1" xr:uid="{00000000-0004-0000-1000-000030000000}"/>
    <hyperlink ref="A66" location="'Page 9'!A1" display="'Page 9'!A1" xr:uid="{00000000-0004-0000-1000-000031000000}"/>
    <hyperlink ref="A67" location="'Page 9'!A1" display="'Page 9'!A1" xr:uid="{00000000-0004-0000-1000-000032000000}"/>
    <hyperlink ref="A68" location="'Page 9'!A1" display="'Page 9'!A1" xr:uid="{00000000-0004-0000-1000-000033000000}"/>
    <hyperlink ref="A70" location="'Page 10'!A1" display="'Page 10'!A1" xr:uid="{00000000-0004-0000-1000-000035000000}"/>
    <hyperlink ref="A128" location="'Reserve Balance'!A1" display="Reserve Balance tab" xr:uid="{00000000-0004-0000-1000-000036000000}"/>
    <hyperlink ref="A129:A134" location="'Reserve Balance'!A1" display="Reserve Balance tab" xr:uid="{00000000-0004-0000-1000-000037000000}"/>
    <hyperlink ref="A139" location="'Reserve Balance'!A25" display="Reserve Balance tab" xr:uid="{00000000-0004-0000-1000-000038000000}"/>
    <hyperlink ref="A140:A141" location="'Reserve Balance'!A25" display="Reserve Balance tab" xr:uid="{00000000-0004-0000-1000-000039000000}"/>
    <hyperlink ref="A69" location="'Page 10'!A1" display="'Page 10'!A1" xr:uid="{00000000-0004-0000-1000-00003A000000}"/>
    <hyperlink ref="A71" location="'Page 10'!A1" display="'Page 10'!A1" xr:uid="{00000000-0004-0000-1000-00003B000000}"/>
    <hyperlink ref="C77" r:id="rId6" display="https://www.azauditor.gov/District_charter_ADE_COVID-19_spending_special_report_FY_2022" xr:uid="{00000000-0004-0000-1000-00003C000000}"/>
    <hyperlink ref="A72" location="'Page 10'!A1" display="'Page 10'!A1" xr:uid="{00000000-0004-0000-1000-00003D000000}"/>
    <hyperlink ref="A88" location="'Page 10'!A1" display="'Page 10'!A1" xr:uid="{00000000-0004-0000-1000-00003E000000}"/>
    <hyperlink ref="A73" location="'Page 10'!A1" display="'Page 10'!A1" xr:uid="{00000000-0004-0000-1000-00003F000000}"/>
    <hyperlink ref="A74" location="'Page 10'!A1" display="'Page 10'!A1" xr:uid="{00000000-0004-0000-1000-000040000000}"/>
    <hyperlink ref="A75" location="'Page 10'!A1" display="'Page 10'!A1" xr:uid="{00000000-0004-0000-1000-000041000000}"/>
    <hyperlink ref="A78" location="'Page 10'!A1" display="'Page 10'!A1" xr:uid="{00000000-0004-0000-1000-000042000000}"/>
    <hyperlink ref="A79" location="'Page 10'!A1" display="'Page 10'!A1" xr:uid="{00000000-0004-0000-1000-000043000000}"/>
    <hyperlink ref="A80" location="'Page 10'!A1" display="'Page 10'!A1" xr:uid="{00000000-0004-0000-1000-000044000000}"/>
    <hyperlink ref="A81" location="'Page 10'!A1" display="'Page 10'!A1" xr:uid="{00000000-0004-0000-1000-000045000000}"/>
    <hyperlink ref="A82" location="'Page 10'!A1" display="'Page 10'!A1" xr:uid="{00000000-0004-0000-1000-000046000000}"/>
    <hyperlink ref="A83" location="'Page 10'!A1" display="'Page 10'!A1" xr:uid="{00000000-0004-0000-1000-000047000000}"/>
    <hyperlink ref="A84" location="'Page 10'!A1" display="'Page 10'!A1" xr:uid="{00000000-0004-0000-1000-000048000000}"/>
    <hyperlink ref="A85" location="'Page 10'!A1" display="'Page 10'!A1" xr:uid="{00000000-0004-0000-1000-000049000000}"/>
    <hyperlink ref="A86" location="'Page 10'!A1" display="'Page 10'!A1" xr:uid="{00000000-0004-0000-1000-00004A000000}"/>
    <hyperlink ref="A87" location="'Page 10'!A1" display="'Page 10'!A1" xr:uid="{00000000-0004-0000-1000-00004B000000}"/>
    <hyperlink ref="A124" location="Summary!A1" display="Summary" xr:uid="{00000000-0004-0000-1000-00004C000000}"/>
    <hyperlink ref="A125" location="Summary!A1" display="Summary" xr:uid="{00000000-0004-0000-1000-00004D000000}"/>
    <hyperlink ref="A126" location="Summary!A1" display="Summary" xr:uid="{00000000-0004-0000-1000-00004E000000}"/>
    <hyperlink ref="A127" location="Summary!A1" display="Summary" xr:uid="{00000000-0004-0000-1000-00004F000000}"/>
    <hyperlink ref="A46" location="'Page 8'!A1" display="'Page 8'!A1" xr:uid="{00000000-0004-0000-1000-000050000000}"/>
    <hyperlink ref="A76:A77" location="'Page 10'!A1" display="'Page 10'!A1" xr:uid="{00000000-0004-0000-1000-000051000000}"/>
    <hyperlink ref="A135" location="'Reserve Balance'!A1" display="Reserve Balance tab" xr:uid="{00000000-0004-0000-1000-000052000000}"/>
    <hyperlink ref="A136" location="'Reserve Balance'!A1" display="Reserve Balance tab" xr:uid="{00000000-0004-0000-1000-000053000000}"/>
    <hyperlink ref="A137" location="'Reserve Balance'!A1" display="Reserve Balance tab" xr:uid="{00000000-0004-0000-1000-000054000000}"/>
    <hyperlink ref="A138" location="'Reserve Balance'!A1" display="Reserve Balance tab" xr:uid="{00000000-0004-0000-1000-000055000000}"/>
    <hyperlink ref="C104" r:id="rId7" xr:uid="{6AAE447B-B858-48A9-8B59-893E4F37DD16}"/>
    <hyperlink ref="A22" location="'Page 3'!A1" display="'Page 3'!A1" xr:uid="{00000000-0004-0000-1000-000034000000}"/>
    <hyperlink ref="A23" location="'Page 3'!A1" display="'Page 3'!A1" xr:uid="{4447963D-6699-41B0-AA5D-8932FE4FF491}"/>
    <hyperlink ref="A26" location="'Page 5'!A1" display="'Page 5'!A1" xr:uid="{9D89D276-0153-4D96-9A77-255222C9D27F}"/>
    <hyperlink ref="A25" location="'Page 4'!A1" display="'Page 4'!A1" xr:uid="{DF5BA6B8-9F54-4383-8DCB-401E7C5C20A9}"/>
    <hyperlink ref="A34" location="'Page 6'!A1" display="'Page 6'!A1" xr:uid="{E915AF1B-9A7F-4983-A69F-96BCB4BC8CE5}"/>
    <hyperlink ref="A89" location="'Food Service'!A1" display="Food Service AFR" xr:uid="{8390BA56-B6BF-494A-B577-6913D87274B7}"/>
    <hyperlink ref="A103" location="'Food Service'!A1" display="Food Service AFR" xr:uid="{FB7E21CA-D34C-40B5-8D16-2C896E314480}"/>
    <hyperlink ref="A105" location="'Food Service'!A1" display="Food Service AFR" xr:uid="{349AB38C-3DA8-4EC8-B395-149189F1BD41}"/>
    <hyperlink ref="A90:A102" location="'Food Service'!A1" display="Food Service AFR" xr:uid="{8557EF55-A031-4FFB-BFB1-0E34F067C231}"/>
    <hyperlink ref="A106:A123" location="'Food Service'!A1" display="Food Service AFR" xr:uid="{500B1D2D-CACD-42DF-9AF7-15D1880921D5}"/>
    <hyperlink ref="A8" location="'Cover Page'!A1" display="Cover" xr:uid="{FBB7D534-D50B-4DF8-8617-E610D20C052A}"/>
  </hyperlinks>
  <printOptions horizontalCentered="1"/>
  <pageMargins left="0.7" right="0.7" top="0.75" bottom="0.75" header="0.3" footer="0.3"/>
  <pageSetup scale="56" fitToHeight="8" orientation="portrait" r:id="rId8"/>
  <headerFooter>
    <oddFooter>&amp;LRev. 8/25 Arizona Department of Education and Auditor General&amp;CFY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AF72CDD0-BFD7-4CF9-8D50-A11CFBB8E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BBB4F38B-0799-4886-B61C-8DBB46B47F73}">
  <ds:schemaRefs>
    <ds:schemaRef ds:uri="http://schemas.microsoft.com/office/2006/metadata/properties"/>
    <ds:schemaRef ds:uri="http://www.w3.org/XML/1998/namespace"/>
    <ds:schemaRef ds:uri="ffcdc2e4-c8f2-4bf7-ab1d-ea300bde3fd8"/>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8385876d-3ffd-449d-b709-a8df02b96ae7"/>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205</vt:i4>
      </vt:variant>
    </vt:vector>
  </HeadingPairs>
  <TitlesOfParts>
    <vt:vector size="224" baseType="lpstr">
      <vt:lpstr>Cover Page</vt:lpstr>
      <vt:lpstr>Page 1</vt:lpstr>
      <vt:lpstr>Page 2</vt:lpstr>
      <vt:lpstr>Page 3</vt:lpstr>
      <vt:lpstr>Page 4</vt:lpstr>
      <vt:lpstr>Page 5</vt:lpstr>
      <vt:lpstr>Page 6</vt:lpstr>
      <vt:lpstr>Page 7</vt:lpstr>
      <vt:lpstr>Page 8</vt:lpstr>
      <vt:lpstr>Page 9</vt:lpstr>
      <vt:lpstr>Page 10</vt:lpstr>
      <vt:lpstr>Food Service</vt:lpstr>
      <vt:lpstr>Summary</vt:lpstr>
      <vt:lpstr>Reserve balance</vt:lpstr>
      <vt:lpstr>School listing</vt:lpstr>
      <vt:lpstr>Alerts</vt:lpstr>
      <vt:lpstr>Accounting data</vt:lpstr>
      <vt:lpstr>Calculations</vt:lpstr>
      <vt:lpstr>Instructions</vt:lpstr>
      <vt:lpstr>Account</vt:lpstr>
      <vt:lpstr>Accounting_Data_Tab</vt:lpstr>
      <vt:lpstr>ActualTotalFederalAndStateProjects</vt:lpstr>
      <vt:lpstr>ActualTotalInstImpExp</vt:lpstr>
      <vt:lpstr>AddlInstrImprProjEndBal</vt:lpstr>
      <vt:lpstr>AdjustedBeginningProjectBalance</vt:lpstr>
      <vt:lpstr>ALaCarte</vt:lpstr>
      <vt:lpstr>AllDisabilityClassifications</vt:lpstr>
      <vt:lpstr>ArizonaIndustryCredentialsIncentive</vt:lpstr>
      <vt:lpstr>AuditServices</vt:lpstr>
      <vt:lpstr>AverageTeacherSalary</vt:lpstr>
      <vt:lpstr>BegProjectBalances</vt:lpstr>
      <vt:lpstr>Breakfasts</vt:lpstr>
      <vt:lpstr>CapitalAcquisitions</vt:lpstr>
      <vt:lpstr>CapitalAcquisitionsLine5</vt:lpstr>
      <vt:lpstr>CashandInvestments</vt:lpstr>
      <vt:lpstr>CashBal</vt:lpstr>
      <vt:lpstr>CIP1072EndBal</vt:lpstr>
      <vt:lpstr>ClssrmSitepg3</vt:lpstr>
      <vt:lpstr>CSPEndBal</vt:lpstr>
      <vt:lpstr>CSPlines122615</vt:lpstr>
      <vt:lpstr>CSPlines4914</vt:lpstr>
      <vt:lpstr>CSPPropertyPayments</vt:lpstr>
      <vt:lpstr>CurrentExpensesByCategory</vt:lpstr>
      <vt:lpstr>CurrentExpensesbyCategoryLines7and8</vt:lpstr>
      <vt:lpstr>DebtService</vt:lpstr>
      <vt:lpstr>District_Name</vt:lpstr>
      <vt:lpstr>EXPENSES</vt:lpstr>
      <vt:lpstr>ExpensesPage2</vt:lpstr>
      <vt:lpstr>FederalAndStateProjectsAdjustedBeginningProjectBalance</vt:lpstr>
      <vt:lpstr>FederalAndStateProjectsPage2</vt:lpstr>
      <vt:lpstr>FederalAndStateProjectsPage9</vt:lpstr>
      <vt:lpstr>FederalAndStateProjectsPage9Line30</vt:lpstr>
      <vt:lpstr>Food_Service_1600</vt:lpstr>
      <vt:lpstr>FoodServiceGen</vt:lpstr>
      <vt:lpstr>FP11001130EndBal</vt:lpstr>
      <vt:lpstr>FP11401150EndBal</vt:lpstr>
      <vt:lpstr>FP1160EndBal</vt:lpstr>
      <vt:lpstr>FP11701180EndBal</vt:lpstr>
      <vt:lpstr>FP1190EndBal</vt:lpstr>
      <vt:lpstr>FP1200EndBal</vt:lpstr>
      <vt:lpstr>FP1210EndBal</vt:lpstr>
      <vt:lpstr>FP1220EndBal</vt:lpstr>
      <vt:lpstr>FP1230EndBal</vt:lpstr>
      <vt:lpstr>FP1240EndBal</vt:lpstr>
      <vt:lpstr>FP1250EndBal</vt:lpstr>
      <vt:lpstr>FP1260EndBal</vt:lpstr>
      <vt:lpstr>FP1280EndBal</vt:lpstr>
      <vt:lpstr>FP1290EndBal</vt:lpstr>
      <vt:lpstr>FP1300EndBal</vt:lpstr>
      <vt:lpstr>FP13101399EndBal</vt:lpstr>
      <vt:lpstr>FP13XXImpactAidEndBal</vt:lpstr>
      <vt:lpstr>FullTimeEquivalentTeachers</vt:lpstr>
      <vt:lpstr>GeneralInstructions</vt:lpstr>
      <vt:lpstr>GeneralPage1</vt:lpstr>
      <vt:lpstr>GeneralPage10</vt:lpstr>
      <vt:lpstr>ImpactAidandOtherFederalProjects</vt:lpstr>
      <vt:lpstr>InvestmentInCapitalAssets</vt:lpstr>
      <vt:lpstr>InvestmentInCapitalAssetsLine5</vt:lpstr>
      <vt:lpstr>LongandShortTermDebt</vt:lpstr>
      <vt:lpstr>LunchesSuppers</vt:lpstr>
      <vt:lpstr>NameCountyCTDSNumber</vt:lpstr>
      <vt:lpstr>Page10DebtServiceDetail</vt:lpstr>
      <vt:lpstr>Page10FY20to23Exp</vt:lpstr>
      <vt:lpstr>Page10FY24Exp</vt:lpstr>
      <vt:lpstr>Page10General</vt:lpstr>
      <vt:lpstr>Page10OtherLine</vt:lpstr>
      <vt:lpstr>Page10PPP</vt:lpstr>
      <vt:lpstr>Page10projects</vt:lpstr>
      <vt:lpstr>Page10ProjectsLine1</vt:lpstr>
      <vt:lpstr>Page10ProjectsLine2</vt:lpstr>
      <vt:lpstr>Page10ProjectsLine3</vt:lpstr>
      <vt:lpstr>Page10ProjectsLine4</vt:lpstr>
      <vt:lpstr>Page10ProjectsLine5</vt:lpstr>
      <vt:lpstr>Page10ProjectsLine6</vt:lpstr>
      <vt:lpstr>Page10PropertyDisbursement</vt:lpstr>
      <vt:lpstr>Page10PropertyDisbursementDetail</vt:lpstr>
      <vt:lpstr>Page10Remaining</vt:lpstr>
      <vt:lpstr>Page10TechDetail</vt:lpstr>
      <vt:lpstr>Page10TechDetailLine7</vt:lpstr>
      <vt:lpstr>Page10TotalAward</vt:lpstr>
      <vt:lpstr>Page3AdjBeginProjBal</vt:lpstr>
      <vt:lpstr>Page4AdjBeginProjBal</vt:lpstr>
      <vt:lpstr>Page5AdjBeginProjBal</vt:lpstr>
      <vt:lpstr>'Accounting data'!Print_Area</vt:lpstr>
      <vt:lpstr>Alerts!Print_Area</vt:lpstr>
      <vt:lpstr>'Cover Page'!Print_Area</vt:lpstr>
      <vt:lpstr>'Food Service'!Print_Area</vt:lpstr>
      <vt:lpstr>Instructions!Print_Area</vt:lpstr>
      <vt:lpstr>'Page 1'!Print_Area</vt:lpstr>
      <vt:lpstr>'Page 10'!Print_Area</vt:lpstr>
      <vt:lpstr>'Page 2'!Print_Area</vt:lpstr>
      <vt:lpstr>'Page 3'!Print_Area</vt:lpstr>
      <vt:lpstr>'Page 4'!Print_Area</vt:lpstr>
      <vt:lpstr>'Page 6'!Print_Area</vt:lpstr>
      <vt:lpstr>'Page 7'!Print_Area</vt:lpstr>
      <vt:lpstr>'Page 8'!Print_Area</vt:lpstr>
      <vt:lpstr>'Page 9'!Print_Area</vt:lpstr>
      <vt:lpstr>'Reserve balance'!Print_Area</vt:lpstr>
      <vt:lpstr>Summary!Print_Area</vt:lpstr>
      <vt:lpstr>PriorYearSalary</vt:lpstr>
      <vt:lpstr>PropertyDisbursements</vt:lpstr>
      <vt:lpstr>PropertyDisbursementsByType</vt:lpstr>
      <vt:lpstr>ReserveBalSecA</vt:lpstr>
      <vt:lpstr>ReserveBalSecAl1</vt:lpstr>
      <vt:lpstr>ReserveBalSecAl2</vt:lpstr>
      <vt:lpstr>ReserveBalSecAl3</vt:lpstr>
      <vt:lpstr>ReserveBalSecAl3a</vt:lpstr>
      <vt:lpstr>ReserveBalSecAl3b</vt:lpstr>
      <vt:lpstr>ReserveBalSecAl3c</vt:lpstr>
      <vt:lpstr>ReserveBalSecAl3d</vt:lpstr>
      <vt:lpstr>ReserveBalSecAl3e</vt:lpstr>
      <vt:lpstr>ReserveBalSecAl3f</vt:lpstr>
      <vt:lpstr>ReserveBalSecAl3g</vt:lpstr>
      <vt:lpstr>ReserveBalSecB</vt:lpstr>
      <vt:lpstr>ReserveBalSecBl4</vt:lpstr>
      <vt:lpstr>ReserveBalSecBl5</vt:lpstr>
      <vt:lpstr>Restricted3200</vt:lpstr>
      <vt:lpstr>Revenue_From_Selected_Federal_Sources</vt:lpstr>
      <vt:lpstr>REVENUES</vt:lpstr>
      <vt:lpstr>School_Listing_Tab</vt:lpstr>
      <vt:lpstr>SchoolwideEndBal</vt:lpstr>
      <vt:lpstr>Section_C_Transportation</vt:lpstr>
      <vt:lpstr>SectionA</vt:lpstr>
      <vt:lpstr>SectionB</vt:lpstr>
      <vt:lpstr>SectionC</vt:lpstr>
      <vt:lpstr>SectionD</vt:lpstr>
      <vt:lpstr>SectionE</vt:lpstr>
      <vt:lpstr>SectionF</vt:lpstr>
      <vt:lpstr>SectionG</vt:lpstr>
      <vt:lpstr>SEIP1071EndBal</vt:lpstr>
      <vt:lpstr>Snacks</vt:lpstr>
      <vt:lpstr>SP1000ClassSiteProj</vt:lpstr>
      <vt:lpstr>SP1000CompInstrProj</vt:lpstr>
      <vt:lpstr>SP1000FedStProj</vt:lpstr>
      <vt:lpstr>SP1000InstrImpProj</vt:lpstr>
      <vt:lpstr>SP1000P100F1000</vt:lpstr>
      <vt:lpstr>SP1000P100F2100</vt:lpstr>
      <vt:lpstr>SP1000P100F2200</vt:lpstr>
      <vt:lpstr>SP1000P100F2300</vt:lpstr>
      <vt:lpstr>SP1000P100F2400</vt:lpstr>
      <vt:lpstr>SP1000P100F2500</vt:lpstr>
      <vt:lpstr>SP1000P100F2600</vt:lpstr>
      <vt:lpstr>SP1000P100F2900</vt:lpstr>
      <vt:lpstr>SP1000P100F3000</vt:lpstr>
      <vt:lpstr>SP1000P100F4000</vt:lpstr>
      <vt:lpstr>SP1000P100F5000</vt:lpstr>
      <vt:lpstr>SP1000P200F1000</vt:lpstr>
      <vt:lpstr>SP1000P200F2100</vt:lpstr>
      <vt:lpstr>SP1000P200F2200</vt:lpstr>
      <vt:lpstr>SP1000P200F2300</vt:lpstr>
      <vt:lpstr>SP1000P200F2400</vt:lpstr>
      <vt:lpstr>SP1000P200F2500</vt:lpstr>
      <vt:lpstr>SP1000P200F2600</vt:lpstr>
      <vt:lpstr>SP1000P200F2900</vt:lpstr>
      <vt:lpstr>SP1000P200F3000</vt:lpstr>
      <vt:lpstr>SP1000P200F4000</vt:lpstr>
      <vt:lpstr>SP1000P200F5000</vt:lpstr>
      <vt:lpstr>SP1000P400</vt:lpstr>
      <vt:lpstr>SP1000P530</vt:lpstr>
      <vt:lpstr>SP1000P540</vt:lpstr>
      <vt:lpstr>SP1000P550</vt:lpstr>
      <vt:lpstr>SP1000P610</vt:lpstr>
      <vt:lpstr>SP1000P620</vt:lpstr>
      <vt:lpstr>SP1000P630700800900</vt:lpstr>
      <vt:lpstr>SP1000StruEngImmProj</vt:lpstr>
      <vt:lpstr>SpecialEdProgramsByType</vt:lpstr>
      <vt:lpstr>StP1400EndBal</vt:lpstr>
      <vt:lpstr>StP1410EndBal</vt:lpstr>
      <vt:lpstr>StP1420EndBal</vt:lpstr>
      <vt:lpstr>StP1425EndBal</vt:lpstr>
      <vt:lpstr>StP1430EndBal</vt:lpstr>
      <vt:lpstr>StP1435EndBal</vt:lpstr>
      <vt:lpstr>StP1450EndBal</vt:lpstr>
      <vt:lpstr>StP1456EndBal</vt:lpstr>
      <vt:lpstr>StP1460EndBal</vt:lpstr>
      <vt:lpstr>StP1465EndBal</vt:lpstr>
      <vt:lpstr>StP14701499EndBal</vt:lpstr>
      <vt:lpstr>StP14XXEndBal</vt:lpstr>
      <vt:lpstr>SumADM</vt:lpstr>
      <vt:lpstr>SumGen</vt:lpstr>
      <vt:lpstr>SupportServicesInstructionDetail</vt:lpstr>
      <vt:lpstr>TeacherSalaries</vt:lpstr>
      <vt:lpstr>TeacherSalariesLine1</vt:lpstr>
      <vt:lpstr>TeacherSalariesLine2</vt:lpstr>
      <vt:lpstr>TeacherSalariesLine3</vt:lpstr>
      <vt:lpstr>TeacherSalariesLine4</vt:lpstr>
      <vt:lpstr>TeacherSalariesLine5</vt:lpstr>
      <vt:lpstr>TechnologyDetail</vt:lpstr>
      <vt:lpstr>TotalActualGiftedExpenses</vt:lpstr>
      <vt:lpstr>TotalCIP6100</vt:lpstr>
      <vt:lpstr>TotalCIP6200</vt:lpstr>
      <vt:lpstr>TotalCIP630064006500</vt:lpstr>
      <vt:lpstr>TotalCIP6600</vt:lpstr>
      <vt:lpstr>TotalCIP6800</vt:lpstr>
      <vt:lpstr>TotalSEIP6100</vt:lpstr>
      <vt:lpstr>TotalSEIP6200</vt:lpstr>
      <vt:lpstr>TotalSEIP630064006500</vt:lpstr>
      <vt:lpstr>TotalSEIP6600</vt:lpstr>
      <vt:lpstr>TotalSEIP6800</vt:lpstr>
      <vt:lpstr>TotExpSchoolwide</vt:lpstr>
      <vt:lpstr>Unrestricted_Restricted_4100_4300</vt:lpstr>
      <vt:lpstr>Unrestricted_Restricted_4200_4500</vt:lpstr>
      <vt:lpstr>UtilitiesandEnergyServices</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AFR</dc:title>
  <dc:subject/>
  <dc:creator>AZ Auditor General</dc:creator>
  <cp:keywords/>
  <dc:description/>
  <cp:lastModifiedBy>Cathleen C. Capen</cp:lastModifiedBy>
  <cp:lastPrinted>2025-10-13T22:06:56Z</cp:lastPrinted>
  <dcterms:created xsi:type="dcterms:W3CDTF">1997-10-09T09:56:13Z</dcterms:created>
  <dcterms:modified xsi:type="dcterms:W3CDTF">2025-10-14T15:56:57Z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11</vt:lpwstr>
  </property>
  <property fmtid="{D5CDD505-2E9C-101B-9397-08002B2CF9AE}" pid="4" name="SchoolBySchool">
    <vt:lpwstr>0</vt:lpwstr>
  </property>
  <property fmtid="{D5CDD505-2E9C-101B-9397-08002B2CF9AE}" pid="5" name="Password">
    <vt:lpwstr>DBacks123</vt:lpwstr>
  </property>
  <property fmtid="{D5CDD505-2E9C-101B-9397-08002B2CF9AE}" pid="6" name="ContentTypeId">
    <vt:lpwstr>0x01010011E11B9217455B40B8FBB9893A94134E</vt:lpwstr>
  </property>
  <property fmtid="{D5CDD505-2E9C-101B-9397-08002B2CF9AE}" pid="7" name="MediaServiceImageTags">
    <vt:lpwstr/>
  </property>
  <property fmtid="{D5CDD505-2E9C-101B-9397-08002B2CF9AE}" pid="8" name="ADEGUID">
    <vt:lpwstr>2FA88DA1-0A61-4956-8BBE-A52B9F9C88BB</vt:lpwstr>
  </property>
</Properties>
</file>